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hartsheets/sheet1.xml" ContentType="application/vnd.openxmlformats-officedocument.spreadsheetml.chartsheet+xml"/>
  <Override PartName="/xl/worksheets/sheet22.xml" ContentType="application/vnd.openxmlformats-officedocument.spreadsheetml.worksheet+xml"/>
  <Override PartName="/xl/chartsheets/sheet2.xml" ContentType="application/vnd.openxmlformats-officedocument.spreadsheetml.chart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26.xml" ContentType="application/vnd.openxmlformats-officedocument.spreadsheetml.worksheet+xml"/>
  <Override PartName="/xl/chartsheets/sheet5.xml" ContentType="application/vnd.openxmlformats-officedocument.spreadsheetml.chartsheet+xml"/>
  <Override PartName="/xl/worksheets/sheet27.xml" ContentType="application/vnd.openxmlformats-officedocument.spreadsheetml.worksheet+xml"/>
  <Override PartName="/xl/chartsheets/sheet6.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omments5.xml" ContentType="application/vnd.openxmlformats-officedocument.spreadsheetml.comment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omments6.xml" ContentType="application/vnd.openxmlformats-officedocument.spreadsheetml.comment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6" yWindow="3960" windowWidth="15300" windowHeight="3492" tabRatio="820" firstSheet="27" activeTab="2"/>
  </bookViews>
  <sheets>
    <sheet name="High Level HE Budget Major Exp" sheetId="88" r:id="rId1"/>
    <sheet name="OVERALL HE BUDGET SUMMARY" sheetId="84" r:id="rId2"/>
    <sheet name="2013-15 PFF Budget Ops Impact" sheetId="72" r:id="rId3"/>
    <sheet name="2011-13 PFF Allocation" sheetId="74" r:id="rId4"/>
    <sheet name="2013-15 PFF Allocation Recommd" sheetId="76" r:id="rId5"/>
    <sheet name="Summary of PFF Metrics 2014" sheetId="70" r:id="rId6"/>
    <sheet name="Summary of PFF Metrics 2015" sheetId="73" r:id="rId7"/>
    <sheet name="Weighting and Rates PFF" sheetId="71" r:id="rId8"/>
    <sheet name="Research Expense Data BRS IX" sheetId="78" r:id="rId9"/>
    <sheet name="Dual Credit Data" sheetId="87" r:id="rId10"/>
    <sheet name="Overall Degree Completion PMS I" sheetId="26" r:id="rId11"/>
    <sheet name="At-Risk Student Degree PMS II" sheetId="27" r:id="rId12"/>
    <sheet name="High Impact Degree PMS III" sheetId="28" r:id="rId13"/>
    <sheet name="Student Persistence PMS IV" sheetId="29" r:id="rId14"/>
    <sheet name="Remediation Success PMS V" sheetId="66" r:id="rId15"/>
    <sheet name="On-time Graduation Rate PMS VI" sheetId="31" r:id="rId16"/>
    <sheet name="Institutional Eff PMS VII" sheetId="58" r:id="rId17"/>
    <sheet name="Line Item Funding" sheetId="79" r:id="rId18"/>
    <sheet name="Medical Education Funding" sheetId="80" r:id="rId19"/>
    <sheet name="Capital Projects and FR" sheetId="81" r:id="rId20"/>
    <sheet name="Debt Service 2000-2032" sheetId="82" r:id="rId21"/>
    <sheet name="Total Ammort Chart" sheetId="83" r:id="rId22"/>
    <sheet name="Total Outstanding Debt" sheetId="96" r:id="rId23"/>
    <sheet name="Total Outstanding Debt Chrt" sheetId="97" r:id="rId24"/>
    <sheet name="R&amp;R Funding" sheetId="86" r:id="rId25"/>
    <sheet name="Student Enrollment BRS VIII " sheetId="21" r:id="rId26"/>
    <sheet name="Ops Funding per FTE Impact" sheetId="75" r:id="rId27"/>
    <sheet name="Funding per FTE Ops Approp" sheetId="89" r:id="rId28"/>
    <sheet name="Funding Per FTE Overall" sheetId="94" r:id="rId29"/>
    <sheet name="Debt Funding per FTE Impact" sheetId="90" r:id="rId30"/>
    <sheet name="Funding per FTE Debt Approp" sheetId="91" r:id="rId31"/>
    <sheet name="Debt Ratio" sheetId="92" r:id="rId32"/>
    <sheet name="Debt Ratio Chart" sheetId="93" r:id="rId33"/>
  </sheets>
  <externalReferences>
    <externalReference r:id="rId34"/>
    <externalReference r:id="rId35"/>
    <externalReference r:id="rId36"/>
    <externalReference r:id="rId37"/>
    <externalReference r:id="rId38"/>
    <externalReference r:id="rId39"/>
    <externalReference r:id="rId40"/>
    <externalReference r:id="rId41"/>
  </externalReferences>
  <definedNames>
    <definedName name="_ben1" localSheetId="17">[1]Parms!$E$9</definedName>
    <definedName name="_ben1" localSheetId="18">[1]Parms!$E$9</definedName>
    <definedName name="_ben1" localSheetId="1">[1]Parms!$E$9</definedName>
    <definedName name="_ben1">[2]Parms!$E$9</definedName>
    <definedName name="_ben2" localSheetId="17">[1]Parms!$F$9</definedName>
    <definedName name="_ben2" localSheetId="18">[1]Parms!$F$9</definedName>
    <definedName name="_ben2" localSheetId="1">[1]Parms!$F$9</definedName>
    <definedName name="_ben2">[2]Parms!$F$9</definedName>
    <definedName name="_ded1" localSheetId="17">[1]Parms!$E$22</definedName>
    <definedName name="_ded1" localSheetId="18">[1]Parms!$E$22</definedName>
    <definedName name="_ded1" localSheetId="1">[1]Parms!$E$22</definedName>
    <definedName name="_ded1">[2]Parms!$E$22</definedName>
    <definedName name="_ded2" localSheetId="17">[1]Parms!$F$22</definedName>
    <definedName name="_ded2" localSheetId="18">[1]Parms!$F$22</definedName>
    <definedName name="_ded2" localSheetId="1">[1]Parms!$F$22</definedName>
    <definedName name="_ded2">[2]Parms!$F$22</definedName>
    <definedName name="_fed1" localSheetId="17">[1]Parms!$E$21</definedName>
    <definedName name="_fed1" localSheetId="18">[1]Parms!$E$21</definedName>
    <definedName name="_fed1" localSheetId="1">[1]Parms!$E$21</definedName>
    <definedName name="_fed1">[2]Parms!$E$21</definedName>
    <definedName name="_fed2" localSheetId="17">[1]Parms!$F$21</definedName>
    <definedName name="_fed2" localSheetId="18">[1]Parms!$F$21</definedName>
    <definedName name="_fed2" localSheetId="1">[1]Parms!$F$21</definedName>
    <definedName name="_fed2">[2]Parms!$F$21</definedName>
    <definedName name="_med1" localSheetId="17">[1]Parms!$E$8</definedName>
    <definedName name="_med1" localSheetId="18">[1]Parms!$E$8</definedName>
    <definedName name="_med1" localSheetId="1">[1]Parms!$E$8</definedName>
    <definedName name="_med1">[2]Parms!$E$8</definedName>
    <definedName name="_med2" localSheetId="17">[1]Parms!$F$8</definedName>
    <definedName name="_med2" localSheetId="18">[1]Parms!$F$8</definedName>
    <definedName name="_med2" localSheetId="1">[1]Parms!$F$8</definedName>
    <definedName name="_med2">[2]Parms!$F$8</definedName>
    <definedName name="_sba1" localSheetId="17">[1]Parms!$E$26</definedName>
    <definedName name="_sba1" localSheetId="18">[1]Parms!$E$26</definedName>
    <definedName name="_sba1" localSheetId="1">[1]Parms!$E$26</definedName>
    <definedName name="_sba1">[2]Parms!$E$26</definedName>
    <definedName name="_sba2" localSheetId="17">[1]Parms!$F$26</definedName>
    <definedName name="_sba2" localSheetId="18">[1]Parms!$F$26</definedName>
    <definedName name="_sba2" localSheetId="1">[1]Parms!$F$26</definedName>
    <definedName name="_sba2">[2]Parms!$F$26</definedName>
    <definedName name="_sne1" localSheetId="17">[1]Parms!$E$10</definedName>
    <definedName name="_sne1" localSheetId="18">[1]Parms!$E$10</definedName>
    <definedName name="_sne1" localSheetId="1">[1]Parms!$E$10</definedName>
    <definedName name="_sne1">[2]Parms!$E$10</definedName>
    <definedName name="_sne2" localSheetId="17">[1]Parms!$F$10</definedName>
    <definedName name="_sne2" localSheetId="18">[1]Parms!$F$10</definedName>
    <definedName name="_sne2" localSheetId="1">[1]Parms!$F$10</definedName>
    <definedName name="_sne2">[2]Parms!$F$10</definedName>
    <definedName name="aid_nr_grad_1" localSheetId="17">[1]Parms!$E$14</definedName>
    <definedName name="aid_nr_grad_1" localSheetId="18">[1]Parms!$E$14</definedName>
    <definedName name="aid_nr_grad_1" localSheetId="1">[1]Parms!$E$14</definedName>
    <definedName name="aid_nr_grad_1">[2]Parms!$E$14</definedName>
    <definedName name="aid_nr_grad_2" localSheetId="17">[1]Parms!$F$14</definedName>
    <definedName name="aid_nr_grad_2" localSheetId="18">[1]Parms!$F$14</definedName>
    <definedName name="aid_nr_grad_2" localSheetId="1">[1]Parms!$F$14</definedName>
    <definedName name="aid_nr_grad_2">[2]Parms!$F$14</definedName>
    <definedName name="aid_nr_ug_1" localSheetId="17">[1]Parms!$E$13</definedName>
    <definedName name="aid_nr_ug_1" localSheetId="18">[1]Parms!$E$13</definedName>
    <definedName name="aid_nr_ug_1" localSheetId="1">[1]Parms!$E$13</definedName>
    <definedName name="aid_nr_ug_1">[2]Parms!$E$13</definedName>
    <definedName name="aid_nr_ug_2" localSheetId="17">[1]Parms!$F$13</definedName>
    <definedName name="aid_nr_ug_2" localSheetId="18">[1]Parms!$F$13</definedName>
    <definedName name="aid_nr_ug_2" localSheetId="1">[1]Parms!$F$13</definedName>
    <definedName name="aid_nr_ug_2">[2]Parms!$F$13</definedName>
    <definedName name="aid_res_grad_1" localSheetId="17">[1]Parms!$E$12</definedName>
    <definedName name="aid_res_grad_1" localSheetId="18">[1]Parms!$E$12</definedName>
    <definedName name="aid_res_grad_1" localSheetId="1">[1]Parms!$E$12</definedName>
    <definedName name="aid_res_grad_1">[2]Parms!$E$12</definedName>
    <definedName name="aid_res_grad_2" localSheetId="17">[1]Parms!$F$12</definedName>
    <definedName name="aid_res_grad_2" localSheetId="18">[1]Parms!$F$12</definedName>
    <definedName name="aid_res_grad_2" localSheetId="1">[1]Parms!$F$12</definedName>
    <definedName name="aid_res_grad_2">[2]Parms!$F$12</definedName>
    <definedName name="aid_res_ug_1" localSheetId="17">[1]Parms!$E$11</definedName>
    <definedName name="aid_res_ug_1" localSheetId="18">[1]Parms!$E$11</definedName>
    <definedName name="aid_res_ug_1" localSheetId="1">[1]Parms!$E$11</definedName>
    <definedName name="aid_res_ug_1">[2]Parms!$E$11</definedName>
    <definedName name="aid_res_ug_2" localSheetId="17">[1]Parms!$F$11</definedName>
    <definedName name="aid_res_ug_2" localSheetId="18">[1]Parms!$F$11</definedName>
    <definedName name="aid_res_ug_2" localSheetId="1">[1]Parms!$F$11</definedName>
    <definedName name="aid_res_ug_2">[2]Parms!$F$11</definedName>
    <definedName name="BAWL">'[3]Bonding Authority'!$A$23:$K$44</definedName>
    <definedName name="bien" localSheetId="17">[1]Parms!$F$24</definedName>
    <definedName name="bien" localSheetId="18">[1]Parms!$F$24</definedName>
    <definedName name="bien" localSheetId="1">[1]Parms!$F$24</definedName>
    <definedName name="bien">[2]Parms!$F$24</definedName>
    <definedName name="BL" localSheetId="4">#REF!</definedName>
    <definedName name="BL" localSheetId="16">#REF!</definedName>
    <definedName name="BL" localSheetId="8">#REF!</definedName>
    <definedName name="BL" localSheetId="6">#REF!</definedName>
    <definedName name="BL">#REF!</definedName>
    <definedName name="case" localSheetId="17">[1]Parms!$F$5</definedName>
    <definedName name="case" localSheetId="18">[1]Parms!$F$5</definedName>
    <definedName name="case" localSheetId="1">[1]Parms!$F$5</definedName>
    <definedName name="case">[2]Parms!$F$5</definedName>
    <definedName name="case1">[4]Parms!$F$5</definedName>
    <definedName name="CRWL">[3]CRWL!$A$23:$K$42</definedName>
    <definedName name="E">[5]SEREFW!$A$12:$IV$28</definedName>
    <definedName name="fees_2yr_nr_1" localSheetId="17">[1]Parms!$E$20</definedName>
    <definedName name="fees_2yr_nr_1" localSheetId="18">[1]Parms!$E$20</definedName>
    <definedName name="fees_2yr_nr_1" localSheetId="1">[1]Parms!$E$20</definedName>
    <definedName name="fees_2yr_nr_1">[2]Parms!$E$20</definedName>
    <definedName name="fees_2yr_nr_2" localSheetId="17">[1]Parms!$F$20</definedName>
    <definedName name="fees_2yr_nr_2" localSheetId="18">[1]Parms!$F$20</definedName>
    <definedName name="fees_2yr_nr_2" localSheetId="1">[1]Parms!$F$20</definedName>
    <definedName name="fees_2yr_nr_2">[2]Parms!$F$20</definedName>
    <definedName name="Fees_2yr_res_1" localSheetId="17">[1]Parms!$E$19</definedName>
    <definedName name="Fees_2yr_res_1" localSheetId="18">[1]Parms!$E$19</definedName>
    <definedName name="Fees_2yr_res_1" localSheetId="1">[1]Parms!$E$19</definedName>
    <definedName name="Fees_2yr_res_1">[2]Parms!$E$19</definedName>
    <definedName name="fees_2yr_res_2" localSheetId="17">[1]Parms!$F$19</definedName>
    <definedName name="fees_2yr_res_2" localSheetId="18">[1]Parms!$F$19</definedName>
    <definedName name="fees_2yr_res_2" localSheetId="1">[1]Parms!$F$19</definedName>
    <definedName name="fees_2yr_res_2">[2]Parms!$F$19</definedName>
    <definedName name="fees_nr_grad_1" localSheetId="17">[1]Parms!$E$18</definedName>
    <definedName name="fees_nr_grad_1" localSheetId="18">[1]Parms!$E$18</definedName>
    <definedName name="fees_nr_grad_1" localSheetId="1">[1]Parms!$E$18</definedName>
    <definedName name="fees_nr_grad_1">[2]Parms!$E$18</definedName>
    <definedName name="fees_nr_grad_2" localSheetId="17">[1]Parms!$F$18</definedName>
    <definedName name="fees_nr_grad_2" localSheetId="18">[1]Parms!$F$18</definedName>
    <definedName name="fees_nr_grad_2" localSheetId="1">[1]Parms!$F$18</definedName>
    <definedName name="fees_nr_grad_2">[2]Parms!$F$18</definedName>
    <definedName name="fees_nr_ug_1" localSheetId="17">[1]Parms!$E$17</definedName>
    <definedName name="fees_nr_ug_1" localSheetId="18">[1]Parms!$E$17</definedName>
    <definedName name="fees_nr_ug_1" localSheetId="1">[1]Parms!$E$17</definedName>
    <definedName name="fees_nr_ug_1">[2]Parms!$E$17</definedName>
    <definedName name="fees_nr_ug_2" localSheetId="17">[1]Parms!$F$17</definedName>
    <definedName name="fees_nr_ug_2" localSheetId="18">[1]Parms!$F$17</definedName>
    <definedName name="fees_nr_ug_2" localSheetId="1">[1]Parms!$F$17</definedName>
    <definedName name="fees_nr_ug_2">[2]Parms!$F$17</definedName>
    <definedName name="fees_res_grad_1" localSheetId="17">[1]Parms!$E$16</definedName>
    <definedName name="fees_res_grad_1" localSheetId="18">[1]Parms!$E$16</definedName>
    <definedName name="fees_res_grad_1" localSheetId="1">[1]Parms!$E$16</definedName>
    <definedName name="fees_res_grad_1">[2]Parms!$E$16</definedName>
    <definedName name="fees_res_grad_2" localSheetId="17">[1]Parms!$F$16</definedName>
    <definedName name="fees_res_grad_2" localSheetId="18">[1]Parms!$F$16</definedName>
    <definedName name="fees_res_grad_2" localSheetId="1">[1]Parms!$F$16</definedName>
    <definedName name="fees_res_grad_2">[2]Parms!$F$16</definedName>
    <definedName name="fees_res_ug_1" localSheetId="17">[1]Parms!$E$15</definedName>
    <definedName name="fees_res_ug_1" localSheetId="18">[1]Parms!$E$15</definedName>
    <definedName name="fees_res_ug_1" localSheetId="1">[1]Parms!$E$15</definedName>
    <definedName name="fees_res_ug_1">[2]Parms!$E$15</definedName>
    <definedName name="fees_res_ug_2" localSheetId="17">[1]Parms!$F$15</definedName>
    <definedName name="fees_res_ug_2" localSheetId="18">[1]Parms!$F$15</definedName>
    <definedName name="fees_res_ug_2" localSheetId="1">[1]Parms!$F$15</definedName>
    <definedName name="fees_res_ug_2">[2]Parms!$F$15</definedName>
    <definedName name="HC" localSheetId="4">#REF!</definedName>
    <definedName name="HC" localSheetId="16">#REF!</definedName>
    <definedName name="HC" localSheetId="8">#REF!</definedName>
    <definedName name="HC" localSheetId="6">#REF!</definedName>
    <definedName name="HC">#REF!</definedName>
    <definedName name="IN" localSheetId="4">#REF!</definedName>
    <definedName name="IN" localSheetId="11">#REF!</definedName>
    <definedName name="IN" localSheetId="12">#REF!</definedName>
    <definedName name="IN" localSheetId="16">#REF!</definedName>
    <definedName name="IN" localSheetId="15">#REF!</definedName>
    <definedName name="IN" localSheetId="10">#REF!</definedName>
    <definedName name="IN" localSheetId="14">#REF!</definedName>
    <definedName name="IN" localSheetId="8">#REF!</definedName>
    <definedName name="IN" localSheetId="25">#REF!</definedName>
    <definedName name="IN" localSheetId="13">#REF!</definedName>
    <definedName name="IN" localSheetId="6">#REF!</definedName>
    <definedName name="IN">#REF!</definedName>
    <definedName name="kevscellname" localSheetId="17">[1]Parms!$F$6</definedName>
    <definedName name="kevscellname" localSheetId="18">[1]Parms!$F$6</definedName>
    <definedName name="kevscellname" localSheetId="1">[1]Parms!$F$6</definedName>
    <definedName name="kevscellname">[2]Parms!$F$6</definedName>
    <definedName name="one" localSheetId="11">'At-Risk Student Degree PMS II'!#REF!</definedName>
    <definedName name="one" localSheetId="12">'High Impact Degree PMS III'!#REF!</definedName>
    <definedName name="one" localSheetId="16">'Institutional Eff PMS VII'!#REF!</definedName>
    <definedName name="one" localSheetId="15">'On-time Graduation Rate PMS VI'!#REF!</definedName>
    <definedName name="one" localSheetId="10">'Overall Degree Completion PMS I'!#REF!</definedName>
    <definedName name="one" localSheetId="14">'Remediation Success PMS V'!#REF!</definedName>
    <definedName name="one" localSheetId="8">'Research Expense Data BRS IX'!#REF!</definedName>
    <definedName name="one" localSheetId="25">'Student Enrollment BRS VIII '!#REF!</definedName>
    <definedName name="one" localSheetId="13">'Student Persistence PMS IV'!#REF!</definedName>
    <definedName name="_xlnm.Print_Area" localSheetId="19">'Capital Projects and FR'!$A$1:$M$82</definedName>
    <definedName name="_xlnm.Print_Area" localSheetId="16">'Institutional Eff PMS VII'!$A$1:$V$148</definedName>
    <definedName name="_xlnm.Print_Area" localSheetId="15">'On-time Graduation Rate PMS VI'!$A$1:$R$191</definedName>
    <definedName name="_xlnm.Print_Area" localSheetId="26">'Ops Funding per FTE Impact'!$A$1:$R$112</definedName>
    <definedName name="_xlnm.Print_Area" localSheetId="5">'Summary of PFF Metrics 2014'!$A$1:$Y$73</definedName>
    <definedName name="_xlnm.Print_Area" localSheetId="6">'Summary of PFF Metrics 2015'!$A$1:$Y$73</definedName>
    <definedName name="_xlnm.Print_Titles" localSheetId="4">'2013-15 PFF Allocation Recommd'!$1:$2</definedName>
    <definedName name="_xlnm.Print_Titles" localSheetId="19">'Capital Projects and FR'!$1:$4</definedName>
    <definedName name="_xlnm.Print_Titles" localSheetId="31">'Debt Ratio'!$1:$3</definedName>
    <definedName name="_xlnm.Print_Titles" localSheetId="17">'Line Item Funding'!$1:$6</definedName>
    <definedName name="_xlnm.Print_Titles" localSheetId="1">'OVERALL HE BUDGET SUMMARY'!$1:$5</definedName>
    <definedName name="REG" localSheetId="4">#REF!</definedName>
    <definedName name="REG" localSheetId="11">#REF!</definedName>
    <definedName name="REG" localSheetId="12">#REF!</definedName>
    <definedName name="REG" localSheetId="16">#REF!</definedName>
    <definedName name="REG" localSheetId="15">#REF!</definedName>
    <definedName name="REG" localSheetId="10">#REF!</definedName>
    <definedName name="REG" localSheetId="14">#REF!</definedName>
    <definedName name="REG" localSheetId="8">#REF!</definedName>
    <definedName name="REG" localSheetId="25">#REF!</definedName>
    <definedName name="REG" localSheetId="13">#REF!</definedName>
    <definedName name="REG" localSheetId="6">#REF!</definedName>
    <definedName name="REG">#REF!</definedName>
    <definedName name="SFSR2004A" localSheetId="4">#REF!</definedName>
    <definedName name="SFSR2004A" localSheetId="11">#REF!</definedName>
    <definedName name="SFSR2004A" localSheetId="12">#REF!</definedName>
    <definedName name="SFSR2004A" localSheetId="16">#REF!</definedName>
    <definedName name="SFSR2004A" localSheetId="15">#REF!</definedName>
    <definedName name="SFSR2004A" localSheetId="10">#REF!</definedName>
    <definedName name="SFSR2004A" localSheetId="14">#REF!</definedName>
    <definedName name="SFSR2004A" localSheetId="8">#REF!</definedName>
    <definedName name="SFSR2004A" localSheetId="25">#REF!</definedName>
    <definedName name="SFSR2004A" localSheetId="13">#REF!</definedName>
    <definedName name="SFSR2004A" localSheetId="6">#REF!</definedName>
    <definedName name="SFSR2004A">#REF!</definedName>
    <definedName name="SFSRB2004A">[6]SFSRB2004A!$A$12:$K$41</definedName>
    <definedName name="TOT" localSheetId="4">#REF!</definedName>
    <definedName name="TOT" localSheetId="11">#REF!</definedName>
    <definedName name="TOT" localSheetId="12">#REF!</definedName>
    <definedName name="TOT" localSheetId="16">#REF!</definedName>
    <definedName name="TOT" localSheetId="15">#REF!</definedName>
    <definedName name="TOT" localSheetId="10">#REF!</definedName>
    <definedName name="TOT" localSheetId="14">#REF!</definedName>
    <definedName name="TOT" localSheetId="8">#REF!</definedName>
    <definedName name="TOT" localSheetId="25">#REF!</definedName>
    <definedName name="TOT" localSheetId="13">#REF!</definedName>
    <definedName name="TOT" localSheetId="6">#REF!</definedName>
    <definedName name="TOT">#REF!</definedName>
    <definedName name="wage1" localSheetId="17">[1]Parms!$E$7</definedName>
    <definedName name="wage1" localSheetId="18">[1]Parms!$E$7</definedName>
    <definedName name="wage1" localSheetId="1">[1]Parms!$E$7</definedName>
    <definedName name="wage1">[2]Parms!$E$7</definedName>
    <definedName name="wage2" localSheetId="17">[1]Parms!$F$7</definedName>
    <definedName name="wage2" localSheetId="18">[1]Parms!$F$7</definedName>
    <definedName name="wage2" localSheetId="1">[1]Parms!$F$7</definedName>
    <definedName name="wage2">[2]Parms!$F$7</definedName>
    <definedName name="year0" localSheetId="17">[1]Parms!$D$25</definedName>
    <definedName name="year0" localSheetId="18">[1]Parms!$D$25</definedName>
    <definedName name="year0" localSheetId="1">[1]Parms!$D$25</definedName>
    <definedName name="year0">[2]Parms!$D$25</definedName>
    <definedName name="year1" localSheetId="11">'At-Risk Student Degree PMS II'!#REF!</definedName>
    <definedName name="year1" localSheetId="12">'High Impact Degree PMS III'!#REF!</definedName>
    <definedName name="year1" localSheetId="16">'Institutional Eff PMS VII'!#REF!</definedName>
    <definedName name="year1" localSheetId="17">[1]Parms!$E$25</definedName>
    <definedName name="year1" localSheetId="18">[1]Parms!$E$25</definedName>
    <definedName name="year1" localSheetId="15">'On-time Graduation Rate PMS VI'!#REF!</definedName>
    <definedName name="year1" localSheetId="10">'Overall Degree Completion PMS I'!#REF!</definedName>
    <definedName name="year1" localSheetId="1">[1]Parms!$E$25</definedName>
    <definedName name="year1" localSheetId="14">'Remediation Success PMS V'!#REF!</definedName>
    <definedName name="year1" localSheetId="8">'Research Expense Data BRS IX'!#REF!</definedName>
    <definedName name="year1" localSheetId="25">'Student Enrollment BRS VIII '!#REF!</definedName>
    <definedName name="year1" localSheetId="13">'Student Persistence PMS IV'!#REF!</definedName>
    <definedName name="year1">[2]Parms!$E$25</definedName>
    <definedName name="year2" localSheetId="17">[1]Parms!$F$25</definedName>
    <definedName name="year2" localSheetId="18">[1]Parms!$F$25</definedName>
    <definedName name="year2" localSheetId="1">[1]Parms!$F$25</definedName>
    <definedName name="year2">[2]Parms!$F$25</definedName>
  </definedNames>
  <calcPr calcId="145621"/>
</workbook>
</file>

<file path=xl/calcChain.xml><?xml version="1.0" encoding="utf-8"?>
<calcChain xmlns="http://schemas.openxmlformats.org/spreadsheetml/2006/main">
  <c r="F47" i="75" l="1"/>
  <c r="G28" i="92" l="1"/>
  <c r="H98" i="79"/>
  <c r="K99" i="84"/>
  <c r="I99" i="84"/>
  <c r="F99" i="84"/>
  <c r="G99" i="84"/>
  <c r="E99" i="84"/>
  <c r="G47" i="79"/>
  <c r="G29" i="79"/>
  <c r="E35" i="81" l="1"/>
  <c r="K96" i="84"/>
  <c r="I96" i="84"/>
  <c r="I149" i="84"/>
  <c r="E99" i="79"/>
  <c r="K119" i="84"/>
  <c r="I119" i="84"/>
  <c r="K40" i="84"/>
  <c r="I40" i="84"/>
  <c r="C10" i="71" l="1"/>
  <c r="C8" i="71"/>
  <c r="E18" i="81" l="1"/>
  <c r="K130" i="84" l="1"/>
  <c r="I130" i="84"/>
  <c r="G87" i="84"/>
  <c r="F87" i="84"/>
  <c r="E87" i="84"/>
  <c r="E98" i="79"/>
  <c r="H37" i="79"/>
  <c r="G43" i="79"/>
  <c r="F61" i="81"/>
  <c r="P15" i="72"/>
  <c r="O15" i="72"/>
  <c r="G15" i="72"/>
  <c r="F15" i="72"/>
  <c r="K38" i="84"/>
  <c r="I38" i="84"/>
  <c r="E6" i="80"/>
  <c r="D6" i="80"/>
  <c r="G41" i="81" l="1"/>
  <c r="C10" i="88"/>
  <c r="D10" i="88"/>
  <c r="B10" i="88"/>
  <c r="G149" i="84"/>
  <c r="F149" i="84"/>
  <c r="E149" i="84"/>
  <c r="J130" i="84"/>
  <c r="P130" i="84"/>
  <c r="I84" i="84"/>
  <c r="P84" i="84" s="1"/>
  <c r="Q67" i="84"/>
  <c r="P67" i="84"/>
  <c r="N67" i="84"/>
  <c r="M67" i="84"/>
  <c r="J67" i="84"/>
  <c r="H67" i="84"/>
  <c r="J62" i="84"/>
  <c r="P62" i="84"/>
  <c r="P45" i="84"/>
  <c r="M45" i="84"/>
  <c r="Q45" i="84"/>
  <c r="J45" i="84"/>
  <c r="H45" i="84"/>
  <c r="Q40" i="84"/>
  <c r="K35" i="84"/>
  <c r="I35" i="84"/>
  <c r="P35" i="84" s="1"/>
  <c r="K30" i="84"/>
  <c r="I30" i="84"/>
  <c r="P30" i="84" s="1"/>
  <c r="K25" i="84"/>
  <c r="I25" i="84"/>
  <c r="P25" i="84" s="1"/>
  <c r="K20" i="84"/>
  <c r="Q20" i="84" s="1"/>
  <c r="I20" i="84"/>
  <c r="P20" i="84" s="1"/>
  <c r="J10" i="84"/>
  <c r="H10" i="84"/>
  <c r="M10" i="84"/>
  <c r="N10" i="84"/>
  <c r="P10" i="84"/>
  <c r="Q10" i="84"/>
  <c r="K15" i="84"/>
  <c r="I15" i="84"/>
  <c r="M15" i="84" s="1"/>
  <c r="G77" i="81"/>
  <c r="G62" i="81"/>
  <c r="G76" i="81"/>
  <c r="G70" i="81"/>
  <c r="P40" i="84" s="1"/>
  <c r="G63" i="81"/>
  <c r="G50" i="81"/>
  <c r="K84" i="84" s="1"/>
  <c r="O65" i="81"/>
  <c r="O66" i="81"/>
  <c r="O70" i="81" s="1"/>
  <c r="O67" i="81"/>
  <c r="O68" i="81"/>
  <c r="O69" i="81"/>
  <c r="D35" i="81"/>
  <c r="F62" i="81"/>
  <c r="F173" i="84"/>
  <c r="E173" i="84"/>
  <c r="E100" i="79"/>
  <c r="G95" i="79"/>
  <c r="G94" i="79"/>
  <c r="G72" i="79"/>
  <c r="E20" i="81"/>
  <c r="M119" i="84" l="1"/>
  <c r="H119" i="84"/>
  <c r="P66" i="81"/>
  <c r="P67" i="81"/>
  <c r="P69" i="81"/>
  <c r="P65" i="81"/>
  <c r="P96" i="84"/>
  <c r="J119" i="84"/>
  <c r="Q119" i="84"/>
  <c r="P119" i="84"/>
  <c r="P68" i="81"/>
  <c r="J84" i="84"/>
  <c r="N130" i="84"/>
  <c r="Q130" i="84"/>
  <c r="H130" i="84"/>
  <c r="M130" i="84"/>
  <c r="N119" i="84"/>
  <c r="J40" i="84"/>
  <c r="M40" i="84"/>
  <c r="J96" i="84"/>
  <c r="N96" i="84"/>
  <c r="Q96" i="84"/>
  <c r="H96" i="84"/>
  <c r="M96" i="84"/>
  <c r="N84" i="84"/>
  <c r="Q84" i="84"/>
  <c r="H84" i="84"/>
  <c r="M84" i="84"/>
  <c r="N62" i="84"/>
  <c r="Q62" i="84"/>
  <c r="H62" i="84"/>
  <c r="M62" i="84"/>
  <c r="J35" i="84"/>
  <c r="H40" i="84"/>
  <c r="N45" i="84"/>
  <c r="N40" i="84"/>
  <c r="N35" i="84"/>
  <c r="Q35" i="84"/>
  <c r="H35" i="84"/>
  <c r="M35" i="84"/>
  <c r="J30" i="84"/>
  <c r="N30" i="84"/>
  <c r="Q30" i="84"/>
  <c r="J20" i="84"/>
  <c r="M20" i="84"/>
  <c r="H30" i="84"/>
  <c r="M30" i="84"/>
  <c r="J25" i="84"/>
  <c r="J15" i="84"/>
  <c r="N25" i="84"/>
  <c r="Q25" i="84"/>
  <c r="H15" i="84"/>
  <c r="H25" i="84"/>
  <c r="M25" i="84"/>
  <c r="H20" i="84"/>
  <c r="Q15" i="84"/>
  <c r="N15" i="84"/>
  <c r="P15" i="84"/>
  <c r="N20" i="84"/>
  <c r="T191" i="31"/>
  <c r="M8" i="72" l="1"/>
  <c r="M9" i="72"/>
  <c r="C18" i="87" l="1"/>
  <c r="C16" i="87"/>
  <c r="Y123" i="96"/>
  <c r="Z123" i="96"/>
  <c r="AA123" i="96"/>
  <c r="E124" i="96"/>
  <c r="R686" i="21" l="1"/>
  <c r="P686" i="21"/>
  <c r="N686" i="21"/>
  <c r="L686" i="21"/>
  <c r="J686" i="21"/>
  <c r="D124" i="96" l="1"/>
  <c r="C124" i="96"/>
  <c r="D123" i="96"/>
  <c r="C123" i="96"/>
  <c r="B99" i="96"/>
  <c r="B98" i="96"/>
  <c r="AA100" i="96"/>
  <c r="E100" i="96"/>
  <c r="D100" i="96"/>
  <c r="C100" i="96"/>
  <c r="E139" i="84" l="1"/>
  <c r="F114" i="79"/>
  <c r="E114" i="79"/>
  <c r="G93" i="79"/>
  <c r="E8" i="81" l="1"/>
  <c r="F98" i="96"/>
  <c r="B15" i="96"/>
  <c r="N29" i="82"/>
  <c r="E27" i="81"/>
  <c r="P29" i="82" s="1"/>
  <c r="Q29" i="82" s="1"/>
  <c r="R29" i="82" s="1"/>
  <c r="S29" i="82" s="1"/>
  <c r="T29" i="82" s="1"/>
  <c r="U29" i="82" s="1"/>
  <c r="V29" i="82" s="1"/>
  <c r="W29" i="82" s="1"/>
  <c r="X29" i="82" s="1"/>
  <c r="Y29" i="82" s="1"/>
  <c r="Z29" i="82" s="1"/>
  <c r="AA29" i="82" s="1"/>
  <c r="AB29" i="82" s="1"/>
  <c r="AC29" i="82" s="1"/>
  <c r="AD29" i="82" s="1"/>
  <c r="AE29" i="82" s="1"/>
  <c r="AF29" i="82" s="1"/>
  <c r="AG29" i="82" s="1"/>
  <c r="AH29" i="82" s="1"/>
  <c r="AI29" i="82" s="1"/>
  <c r="F27" i="81"/>
  <c r="F15" i="96" s="1"/>
  <c r="G15" i="96" s="1"/>
  <c r="H15" i="96" s="1"/>
  <c r="I15" i="96" s="1"/>
  <c r="J15" i="96" s="1"/>
  <c r="K15" i="96" s="1"/>
  <c r="L15" i="96" s="1"/>
  <c r="M15" i="96" s="1"/>
  <c r="N15" i="96" s="1"/>
  <c r="O15" i="96" s="1"/>
  <c r="P15" i="96" s="1"/>
  <c r="Q15" i="96" s="1"/>
  <c r="R15" i="96" s="1"/>
  <c r="S15" i="96" s="1"/>
  <c r="T15" i="96" s="1"/>
  <c r="U15" i="96" s="1"/>
  <c r="V15" i="96" s="1"/>
  <c r="W15" i="96" s="1"/>
  <c r="X15" i="96" s="1"/>
  <c r="Y15" i="96" s="1"/>
  <c r="G98" i="96" l="1"/>
  <c r="H98" i="96" s="1"/>
  <c r="I98" i="96" s="1"/>
  <c r="J98" i="96" s="1"/>
  <c r="K98" i="96" s="1"/>
  <c r="L98" i="96" s="1"/>
  <c r="M98" i="96" s="1"/>
  <c r="N98" i="96" s="1"/>
  <c r="O98" i="96" s="1"/>
  <c r="P98" i="96" s="1"/>
  <c r="Q98" i="96" s="1"/>
  <c r="R98" i="96" s="1"/>
  <c r="S98" i="96" s="1"/>
  <c r="T98" i="96" s="1"/>
  <c r="U98" i="96" s="1"/>
  <c r="V98" i="96" s="1"/>
  <c r="W98" i="96" s="1"/>
  <c r="X98" i="96" s="1"/>
  <c r="Y98" i="96" s="1"/>
  <c r="F100" i="96"/>
  <c r="D46" i="81"/>
  <c r="G46" i="81" s="1"/>
  <c r="D48" i="81"/>
  <c r="G48" i="81" s="1"/>
  <c r="K107" i="84" l="1"/>
  <c r="I107" i="84"/>
  <c r="I72" i="84"/>
  <c r="K72" i="84"/>
  <c r="E31" i="96"/>
  <c r="E33" i="96" s="1"/>
  <c r="D33" i="96"/>
  <c r="AA33" i="96"/>
  <c r="C33" i="96"/>
  <c r="C28" i="86"/>
  <c r="C34" i="86" s="1"/>
  <c r="B28" i="86"/>
  <c r="C21" i="86"/>
  <c r="B21" i="86"/>
  <c r="B34" i="86" s="1"/>
  <c r="D21" i="86"/>
  <c r="P107" i="84" l="1"/>
  <c r="M107" i="84"/>
  <c r="H107" i="84"/>
  <c r="Q107" i="84"/>
  <c r="N107" i="84"/>
  <c r="J107" i="84"/>
  <c r="F31" i="96"/>
  <c r="P72" i="84"/>
  <c r="H72" i="84"/>
  <c r="M72" i="84"/>
  <c r="Q72" i="84"/>
  <c r="J72" i="84"/>
  <c r="N72" i="84"/>
  <c r="D125" i="96"/>
  <c r="B116" i="96"/>
  <c r="B117" i="96"/>
  <c r="B118" i="96"/>
  <c r="B119" i="96"/>
  <c r="B115" i="96"/>
  <c r="E120" i="96"/>
  <c r="D120" i="96"/>
  <c r="C120" i="96"/>
  <c r="F120" i="96"/>
  <c r="B110" i="96"/>
  <c r="B109" i="96"/>
  <c r="E111" i="96"/>
  <c r="D111" i="96"/>
  <c r="C111" i="96"/>
  <c r="C105" i="96"/>
  <c r="B104" i="96"/>
  <c r="AA105" i="96"/>
  <c r="F105" i="96"/>
  <c r="E105" i="96"/>
  <c r="D105" i="96"/>
  <c r="B93" i="96"/>
  <c r="F94" i="96"/>
  <c r="E94" i="96"/>
  <c r="D94" i="96"/>
  <c r="C94" i="96"/>
  <c r="B88" i="96"/>
  <c r="E89" i="96"/>
  <c r="D89" i="96"/>
  <c r="C89" i="96"/>
  <c r="F89" i="96"/>
  <c r="D84" i="96"/>
  <c r="E84" i="96"/>
  <c r="C84" i="96"/>
  <c r="B80" i="96"/>
  <c r="B81" i="96"/>
  <c r="B82" i="96"/>
  <c r="B83" i="96"/>
  <c r="B79" i="96"/>
  <c r="B78" i="96"/>
  <c r="B73" i="96"/>
  <c r="B72" i="96"/>
  <c r="E74" i="96"/>
  <c r="D74" i="96"/>
  <c r="C74" i="96"/>
  <c r="B67" i="96"/>
  <c r="E68" i="96"/>
  <c r="D68" i="96"/>
  <c r="C68" i="96"/>
  <c r="F68" i="96"/>
  <c r="B62" i="96"/>
  <c r="B61" i="96"/>
  <c r="E63" i="96"/>
  <c r="D63" i="96"/>
  <c r="C63" i="96"/>
  <c r="B56" i="96"/>
  <c r="B55" i="96"/>
  <c r="E57" i="96"/>
  <c r="D57" i="96"/>
  <c r="C57" i="96"/>
  <c r="B42" i="96"/>
  <c r="B43" i="96"/>
  <c r="B44" i="96"/>
  <c r="B45" i="96"/>
  <c r="B46" i="96"/>
  <c r="B47" i="96"/>
  <c r="B48" i="96"/>
  <c r="B49" i="96"/>
  <c r="B50" i="96"/>
  <c r="B41" i="96"/>
  <c r="B38" i="96"/>
  <c r="B39" i="96"/>
  <c r="B40" i="96"/>
  <c r="B37" i="96"/>
  <c r="E51" i="96"/>
  <c r="D51" i="96"/>
  <c r="C51" i="96"/>
  <c r="V13" i="96"/>
  <c r="U13" i="96"/>
  <c r="T13" i="96"/>
  <c r="S13" i="96"/>
  <c r="R13" i="96"/>
  <c r="Q13" i="96"/>
  <c r="P13" i="96"/>
  <c r="O13" i="96"/>
  <c r="N13" i="96"/>
  <c r="M13" i="96"/>
  <c r="L13" i="96"/>
  <c r="K13" i="96"/>
  <c r="J13" i="96"/>
  <c r="I13" i="96"/>
  <c r="H13" i="96"/>
  <c r="G13" i="96"/>
  <c r="F13" i="96"/>
  <c r="F123" i="96" s="1"/>
  <c r="E13" i="96"/>
  <c r="R123" i="96" l="1"/>
  <c r="K123" i="96"/>
  <c r="P123" i="96"/>
  <c r="E125" i="96"/>
  <c r="E123" i="96"/>
  <c r="M123" i="96"/>
  <c r="Q123" i="96"/>
  <c r="V123" i="96"/>
  <c r="F33" i="96"/>
  <c r="G31" i="96"/>
  <c r="H31" i="96" s="1"/>
  <c r="I31" i="96" s="1"/>
  <c r="J31" i="96" s="1"/>
  <c r="K31" i="96" s="1"/>
  <c r="L31" i="96" s="1"/>
  <c r="M31" i="96" s="1"/>
  <c r="N31" i="96" s="1"/>
  <c r="O31" i="96" s="1"/>
  <c r="P31" i="96" s="1"/>
  <c r="Q31" i="96" s="1"/>
  <c r="R31" i="96" s="1"/>
  <c r="S31" i="96" s="1"/>
  <c r="T31" i="96" s="1"/>
  <c r="U31" i="96" s="1"/>
  <c r="V31" i="96" s="1"/>
  <c r="W31" i="96" s="1"/>
  <c r="O123" i="96"/>
  <c r="L123" i="96"/>
  <c r="T123" i="96"/>
  <c r="C125" i="96"/>
  <c r="AA94" i="96"/>
  <c r="Z89" i="96"/>
  <c r="AA89" i="96"/>
  <c r="B32" i="96"/>
  <c r="B26" i="96"/>
  <c r="B25" i="96"/>
  <c r="B24" i="96"/>
  <c r="AA27" i="96"/>
  <c r="E27" i="96"/>
  <c r="D27" i="96"/>
  <c r="C27" i="96"/>
  <c r="F75" i="81"/>
  <c r="G56" i="96" s="1"/>
  <c r="H56" i="96" s="1"/>
  <c r="I56" i="96" s="1"/>
  <c r="J56" i="96" s="1"/>
  <c r="K56" i="96" s="1"/>
  <c r="L56" i="96" s="1"/>
  <c r="M56" i="96" s="1"/>
  <c r="N56" i="96" s="1"/>
  <c r="O56" i="96" s="1"/>
  <c r="P56" i="96" s="1"/>
  <c r="Q56" i="96" s="1"/>
  <c r="R56" i="96" s="1"/>
  <c r="S56" i="96" s="1"/>
  <c r="T56" i="96" s="1"/>
  <c r="U56" i="96" s="1"/>
  <c r="V56" i="96" s="1"/>
  <c r="W56" i="96" s="1"/>
  <c r="X56" i="96" s="1"/>
  <c r="Y56" i="96" s="1"/>
  <c r="Z56" i="96" s="1"/>
  <c r="D75" i="81"/>
  <c r="G75" i="81" s="1"/>
  <c r="F46" i="81"/>
  <c r="B17" i="96"/>
  <c r="B18" i="96"/>
  <c r="B19" i="96"/>
  <c r="B16" i="96"/>
  <c r="B14" i="96"/>
  <c r="AA20" i="96"/>
  <c r="E20" i="96"/>
  <c r="D20" i="96"/>
  <c r="C20" i="96"/>
  <c r="B8" i="96"/>
  <c r="B9" i="96"/>
  <c r="B7" i="96"/>
  <c r="AA10" i="96"/>
  <c r="D10" i="96"/>
  <c r="E10" i="96"/>
  <c r="F10" i="96"/>
  <c r="C10" i="96"/>
  <c r="X31" i="96" l="1"/>
  <c r="X123" i="96" s="1"/>
  <c r="W123" i="96"/>
  <c r="U123" i="96"/>
  <c r="S123" i="96"/>
  <c r="K57" i="84"/>
  <c r="I57" i="84"/>
  <c r="G80" i="81"/>
  <c r="G123" i="96"/>
  <c r="N123" i="96"/>
  <c r="I123" i="96"/>
  <c r="H123" i="96"/>
  <c r="J123" i="96"/>
  <c r="G18" i="96"/>
  <c r="H18" i="96" s="1"/>
  <c r="I18" i="96" s="1"/>
  <c r="J18" i="96" s="1"/>
  <c r="K18" i="96" s="1"/>
  <c r="L18" i="96" s="1"/>
  <c r="M18" i="96" s="1"/>
  <c r="N18" i="96" s="1"/>
  <c r="O18" i="96" s="1"/>
  <c r="P18" i="96" s="1"/>
  <c r="Q18" i="96" s="1"/>
  <c r="R18" i="96" s="1"/>
  <c r="S18" i="96" s="1"/>
  <c r="T18" i="96" s="1"/>
  <c r="U18" i="96" s="1"/>
  <c r="V18" i="96" s="1"/>
  <c r="W18" i="96" s="1"/>
  <c r="X18" i="96" s="1"/>
  <c r="Y18" i="96" s="1"/>
  <c r="Z18" i="96" s="1"/>
  <c r="I28" i="88"/>
  <c r="H28" i="88"/>
  <c r="M57" i="84" l="1"/>
  <c r="P57" i="84"/>
  <c r="H57" i="84"/>
  <c r="H149" i="84" s="1"/>
  <c r="E10" i="88" s="1"/>
  <c r="H10" i="88" s="1"/>
  <c r="J10" i="88" s="1"/>
  <c r="Q57" i="84"/>
  <c r="J57" i="84"/>
  <c r="J149" i="84" s="1"/>
  <c r="N57" i="84"/>
  <c r="K149" i="84"/>
  <c r="H96" i="79"/>
  <c r="F10" i="88" l="1"/>
  <c r="I10" i="88" s="1"/>
  <c r="K10" i="88" s="1"/>
  <c r="M149" i="84"/>
  <c r="P149" i="84"/>
  <c r="N149" i="84"/>
  <c r="Q149" i="84"/>
  <c r="I96" i="79"/>
  <c r="Q79" i="79" l="1"/>
  <c r="R78" i="79" s="1"/>
  <c r="R71" i="79" l="1"/>
  <c r="S71" i="79" s="1"/>
  <c r="R73" i="79"/>
  <c r="S73" i="79" s="1"/>
  <c r="R70" i="79"/>
  <c r="S70" i="79" s="1"/>
  <c r="H69" i="79" s="1"/>
  <c r="R72" i="79"/>
  <c r="S72" i="79" s="1"/>
  <c r="R74" i="79"/>
  <c r="S74" i="79" s="1"/>
  <c r="R75" i="79"/>
  <c r="S75" i="79" s="1"/>
  <c r="B80" i="90"/>
  <c r="B80" i="75"/>
  <c r="B79" i="75"/>
  <c r="B78" i="75"/>
  <c r="B77" i="75"/>
  <c r="B76" i="75"/>
  <c r="F2" i="87"/>
  <c r="I69" i="79" l="1"/>
  <c r="H80" i="79"/>
  <c r="I80" i="79"/>
  <c r="H78" i="79"/>
  <c r="I78" i="79"/>
  <c r="S79" i="79"/>
  <c r="F79" i="81"/>
  <c r="G9" i="96" s="1"/>
  <c r="H9" i="96" s="1"/>
  <c r="I9" i="96" s="1"/>
  <c r="J9" i="96" s="1"/>
  <c r="K9" i="96" s="1"/>
  <c r="L9" i="96" s="1"/>
  <c r="M9" i="96" s="1"/>
  <c r="N9" i="96" s="1"/>
  <c r="O9" i="96" s="1"/>
  <c r="P9" i="96" s="1"/>
  <c r="Q9" i="96" s="1"/>
  <c r="R9" i="96" s="1"/>
  <c r="S9" i="96" s="1"/>
  <c r="T9" i="96" s="1"/>
  <c r="U9" i="96" s="1"/>
  <c r="V9" i="96" s="1"/>
  <c r="W9" i="96" s="1"/>
  <c r="X9" i="96" s="1"/>
  <c r="Y9" i="96" s="1"/>
  <c r="Z9" i="96" s="1"/>
  <c r="F78" i="81"/>
  <c r="G8" i="96" s="1"/>
  <c r="F77" i="81"/>
  <c r="G7" i="96" s="1"/>
  <c r="H7" i="96" s="1"/>
  <c r="I7" i="96" s="1"/>
  <c r="J7" i="96" s="1"/>
  <c r="K7" i="96" s="1"/>
  <c r="L7" i="96" s="1"/>
  <c r="M7" i="96" s="1"/>
  <c r="N7" i="96" s="1"/>
  <c r="O7" i="96" s="1"/>
  <c r="P7" i="96" s="1"/>
  <c r="Q7" i="96" s="1"/>
  <c r="R7" i="96" s="1"/>
  <c r="S7" i="96" s="1"/>
  <c r="T7" i="96" s="1"/>
  <c r="U7" i="96" s="1"/>
  <c r="V7" i="96" s="1"/>
  <c r="W7" i="96" s="1"/>
  <c r="X7" i="96" s="1"/>
  <c r="Y7" i="96" s="1"/>
  <c r="Z7" i="96" s="1"/>
  <c r="F76" i="81"/>
  <c r="F74" i="81"/>
  <c r="G62" i="96" s="1"/>
  <c r="H62" i="96" s="1"/>
  <c r="I62" i="96" s="1"/>
  <c r="J62" i="96" s="1"/>
  <c r="K62" i="96" s="1"/>
  <c r="L62" i="96" s="1"/>
  <c r="M62" i="96" s="1"/>
  <c r="N62" i="96" s="1"/>
  <c r="O62" i="96" s="1"/>
  <c r="P62" i="96" s="1"/>
  <c r="Q62" i="96" s="1"/>
  <c r="R62" i="96" s="1"/>
  <c r="S62" i="96" s="1"/>
  <c r="T62" i="96" s="1"/>
  <c r="U62" i="96" s="1"/>
  <c r="V62" i="96" s="1"/>
  <c r="W62" i="96" s="1"/>
  <c r="X62" i="96" s="1"/>
  <c r="Y62" i="96" s="1"/>
  <c r="Z62" i="96" s="1"/>
  <c r="AA62" i="96" s="1"/>
  <c r="F73" i="81"/>
  <c r="G119" i="96" s="1"/>
  <c r="H119" i="96" s="1"/>
  <c r="I119" i="96" s="1"/>
  <c r="J119" i="96" s="1"/>
  <c r="K119" i="96" s="1"/>
  <c r="L119" i="96" s="1"/>
  <c r="M119" i="96" s="1"/>
  <c r="N119" i="96" s="1"/>
  <c r="O119" i="96" s="1"/>
  <c r="P119" i="96" s="1"/>
  <c r="Q119" i="96" s="1"/>
  <c r="R119" i="96" s="1"/>
  <c r="S119" i="96" s="1"/>
  <c r="T119" i="96" s="1"/>
  <c r="U119" i="96" s="1"/>
  <c r="V119" i="96" s="1"/>
  <c r="W119" i="96" s="1"/>
  <c r="X119" i="96" s="1"/>
  <c r="Y119" i="96" s="1"/>
  <c r="Z119" i="96" s="1"/>
  <c r="AA119" i="96" s="1"/>
  <c r="F72" i="81"/>
  <c r="G118" i="96" s="1"/>
  <c r="H118" i="96" s="1"/>
  <c r="I118" i="96" s="1"/>
  <c r="J118" i="96" s="1"/>
  <c r="K118" i="96" s="1"/>
  <c r="L118" i="96" s="1"/>
  <c r="M118" i="96" s="1"/>
  <c r="N118" i="96" s="1"/>
  <c r="O118" i="96" s="1"/>
  <c r="P118" i="96" s="1"/>
  <c r="Q118" i="96" s="1"/>
  <c r="R118" i="96" s="1"/>
  <c r="S118" i="96" s="1"/>
  <c r="T118" i="96" s="1"/>
  <c r="U118" i="96" s="1"/>
  <c r="V118" i="96" s="1"/>
  <c r="W118" i="96" s="1"/>
  <c r="X118" i="96" s="1"/>
  <c r="Y118" i="96" s="1"/>
  <c r="Z118" i="96" s="1"/>
  <c r="AA118" i="96" s="1"/>
  <c r="F71" i="81"/>
  <c r="G117" i="96" s="1"/>
  <c r="H117" i="96" s="1"/>
  <c r="I117" i="96" s="1"/>
  <c r="J117" i="96" s="1"/>
  <c r="K117" i="96" s="1"/>
  <c r="L117" i="96" s="1"/>
  <c r="M117" i="96" s="1"/>
  <c r="N117" i="96" s="1"/>
  <c r="O117" i="96" s="1"/>
  <c r="P117" i="96" s="1"/>
  <c r="Q117" i="96" s="1"/>
  <c r="R117" i="96" s="1"/>
  <c r="S117" i="96" s="1"/>
  <c r="T117" i="96" s="1"/>
  <c r="U117" i="96" s="1"/>
  <c r="V117" i="96" s="1"/>
  <c r="W117" i="96" s="1"/>
  <c r="X117" i="96" s="1"/>
  <c r="Y117" i="96" s="1"/>
  <c r="Z117" i="96" s="1"/>
  <c r="AA117" i="96" s="1"/>
  <c r="F70" i="81"/>
  <c r="G116" i="96" s="1"/>
  <c r="F69" i="81"/>
  <c r="G115" i="96" s="1"/>
  <c r="H115" i="96" s="1"/>
  <c r="I115" i="96" s="1"/>
  <c r="J115" i="96" s="1"/>
  <c r="K115" i="96" s="1"/>
  <c r="L115" i="96" s="1"/>
  <c r="M115" i="96" s="1"/>
  <c r="N115" i="96" s="1"/>
  <c r="O115" i="96" s="1"/>
  <c r="P115" i="96" s="1"/>
  <c r="Q115" i="96" s="1"/>
  <c r="R115" i="96" s="1"/>
  <c r="S115" i="96" s="1"/>
  <c r="T115" i="96" s="1"/>
  <c r="U115" i="96" s="1"/>
  <c r="V115" i="96" s="1"/>
  <c r="W115" i="96" s="1"/>
  <c r="X115" i="96" s="1"/>
  <c r="Y115" i="96" s="1"/>
  <c r="Z115" i="96" s="1"/>
  <c r="AA115" i="96" s="1"/>
  <c r="F68" i="81"/>
  <c r="G83" i="96" s="1"/>
  <c r="H83" i="96" s="1"/>
  <c r="I83" i="96" s="1"/>
  <c r="J83" i="96" s="1"/>
  <c r="K83" i="96" s="1"/>
  <c r="L83" i="96" s="1"/>
  <c r="M83" i="96" s="1"/>
  <c r="N83" i="96" s="1"/>
  <c r="O83" i="96" s="1"/>
  <c r="P83" i="96" s="1"/>
  <c r="Q83" i="96" s="1"/>
  <c r="R83" i="96" s="1"/>
  <c r="S83" i="96" s="1"/>
  <c r="T83" i="96" s="1"/>
  <c r="U83" i="96" s="1"/>
  <c r="V83" i="96" s="1"/>
  <c r="W83" i="96" s="1"/>
  <c r="X83" i="96" s="1"/>
  <c r="Y83" i="96" s="1"/>
  <c r="Z83" i="96" s="1"/>
  <c r="AA83" i="96" s="1"/>
  <c r="F67" i="81"/>
  <c r="G82" i="96" s="1"/>
  <c r="H82" i="96" s="1"/>
  <c r="I82" i="96" s="1"/>
  <c r="J82" i="96" s="1"/>
  <c r="K82" i="96" s="1"/>
  <c r="L82" i="96" s="1"/>
  <c r="M82" i="96" s="1"/>
  <c r="N82" i="96" s="1"/>
  <c r="O82" i="96" s="1"/>
  <c r="P82" i="96" s="1"/>
  <c r="Q82" i="96" s="1"/>
  <c r="R82" i="96" s="1"/>
  <c r="S82" i="96" s="1"/>
  <c r="T82" i="96" s="1"/>
  <c r="U82" i="96" s="1"/>
  <c r="V82" i="96" s="1"/>
  <c r="W82" i="96" s="1"/>
  <c r="X82" i="96" s="1"/>
  <c r="Y82" i="96" s="1"/>
  <c r="Z82" i="96" s="1"/>
  <c r="AA82" i="96" s="1"/>
  <c r="F66" i="81"/>
  <c r="G81" i="96" s="1"/>
  <c r="H81" i="96" s="1"/>
  <c r="I81" i="96" s="1"/>
  <c r="J81" i="96" s="1"/>
  <c r="K81" i="96" s="1"/>
  <c r="L81" i="96" s="1"/>
  <c r="M81" i="96" s="1"/>
  <c r="N81" i="96" s="1"/>
  <c r="O81" i="96" s="1"/>
  <c r="P81" i="96" s="1"/>
  <c r="Q81" i="96" s="1"/>
  <c r="R81" i="96" s="1"/>
  <c r="S81" i="96" s="1"/>
  <c r="T81" i="96" s="1"/>
  <c r="U81" i="96" s="1"/>
  <c r="V81" i="96" s="1"/>
  <c r="W81" i="96" s="1"/>
  <c r="X81" i="96" s="1"/>
  <c r="Y81" i="96" s="1"/>
  <c r="Z81" i="96" s="1"/>
  <c r="AA81" i="96" s="1"/>
  <c r="F65" i="81"/>
  <c r="G80" i="96" s="1"/>
  <c r="H80" i="96" s="1"/>
  <c r="I80" i="96" s="1"/>
  <c r="J80" i="96" s="1"/>
  <c r="K80" i="96" s="1"/>
  <c r="L80" i="96" s="1"/>
  <c r="M80" i="96" s="1"/>
  <c r="N80" i="96" s="1"/>
  <c r="O80" i="96" s="1"/>
  <c r="P80" i="96" s="1"/>
  <c r="Q80" i="96" s="1"/>
  <c r="R80" i="96" s="1"/>
  <c r="S80" i="96" s="1"/>
  <c r="T80" i="96" s="1"/>
  <c r="U80" i="96" s="1"/>
  <c r="V80" i="96" s="1"/>
  <c r="W80" i="96" s="1"/>
  <c r="X80" i="96" s="1"/>
  <c r="Y80" i="96" s="1"/>
  <c r="Z80" i="96" s="1"/>
  <c r="AA80" i="96" s="1"/>
  <c r="F64" i="81"/>
  <c r="G79" i="96" s="1"/>
  <c r="H79" i="96" s="1"/>
  <c r="I79" i="96" s="1"/>
  <c r="J79" i="96" s="1"/>
  <c r="K79" i="96" s="1"/>
  <c r="L79" i="96" s="1"/>
  <c r="M79" i="96" s="1"/>
  <c r="N79" i="96" s="1"/>
  <c r="O79" i="96" s="1"/>
  <c r="P79" i="96" s="1"/>
  <c r="Q79" i="96" s="1"/>
  <c r="R79" i="96" s="1"/>
  <c r="S79" i="96" s="1"/>
  <c r="T79" i="96" s="1"/>
  <c r="U79" i="96" s="1"/>
  <c r="V79" i="96" s="1"/>
  <c r="W79" i="96" s="1"/>
  <c r="X79" i="96" s="1"/>
  <c r="Y79" i="96" s="1"/>
  <c r="Z79" i="96" s="1"/>
  <c r="AA79" i="96" s="1"/>
  <c r="F63" i="81"/>
  <c r="F6" i="81" s="1"/>
  <c r="F60" i="81"/>
  <c r="G50" i="96" s="1"/>
  <c r="H50" i="96" s="1"/>
  <c r="I50" i="96" s="1"/>
  <c r="J50" i="96" s="1"/>
  <c r="K50" i="96" s="1"/>
  <c r="L50" i="96" s="1"/>
  <c r="M50" i="96" s="1"/>
  <c r="N50" i="96" s="1"/>
  <c r="O50" i="96" s="1"/>
  <c r="P50" i="96" s="1"/>
  <c r="Q50" i="96" s="1"/>
  <c r="R50" i="96" s="1"/>
  <c r="S50" i="96" s="1"/>
  <c r="T50" i="96" s="1"/>
  <c r="U50" i="96" s="1"/>
  <c r="V50" i="96" s="1"/>
  <c r="W50" i="96" s="1"/>
  <c r="X50" i="96" s="1"/>
  <c r="Y50" i="96" s="1"/>
  <c r="Z50" i="96" s="1"/>
  <c r="F59" i="81"/>
  <c r="G49" i="96" s="1"/>
  <c r="H49" i="96" s="1"/>
  <c r="I49" i="96" s="1"/>
  <c r="J49" i="96" s="1"/>
  <c r="K49" i="96" s="1"/>
  <c r="L49" i="96" s="1"/>
  <c r="M49" i="96" s="1"/>
  <c r="N49" i="96" s="1"/>
  <c r="O49" i="96" s="1"/>
  <c r="P49" i="96" s="1"/>
  <c r="Q49" i="96" s="1"/>
  <c r="R49" i="96" s="1"/>
  <c r="S49" i="96" s="1"/>
  <c r="T49" i="96" s="1"/>
  <c r="U49" i="96" s="1"/>
  <c r="V49" i="96" s="1"/>
  <c r="W49" i="96" s="1"/>
  <c r="X49" i="96" s="1"/>
  <c r="Y49" i="96" s="1"/>
  <c r="Z49" i="96" s="1"/>
  <c r="F58" i="81"/>
  <c r="G48" i="96" s="1"/>
  <c r="H48" i="96" s="1"/>
  <c r="I48" i="96" s="1"/>
  <c r="J48" i="96" s="1"/>
  <c r="K48" i="96" s="1"/>
  <c r="L48" i="96" s="1"/>
  <c r="M48" i="96" s="1"/>
  <c r="N48" i="96" s="1"/>
  <c r="O48" i="96" s="1"/>
  <c r="P48" i="96" s="1"/>
  <c r="Q48" i="96" s="1"/>
  <c r="R48" i="96" s="1"/>
  <c r="S48" i="96" s="1"/>
  <c r="T48" i="96" s="1"/>
  <c r="U48" i="96" s="1"/>
  <c r="V48" i="96" s="1"/>
  <c r="W48" i="96" s="1"/>
  <c r="X48" i="96" s="1"/>
  <c r="Y48" i="96" s="1"/>
  <c r="Z48" i="96" s="1"/>
  <c r="F57" i="81"/>
  <c r="G47" i="96" s="1"/>
  <c r="H47" i="96" s="1"/>
  <c r="I47" i="96" s="1"/>
  <c r="J47" i="96" s="1"/>
  <c r="K47" i="96" s="1"/>
  <c r="L47" i="96" s="1"/>
  <c r="M47" i="96" s="1"/>
  <c r="N47" i="96" s="1"/>
  <c r="O47" i="96" s="1"/>
  <c r="P47" i="96" s="1"/>
  <c r="Q47" i="96" s="1"/>
  <c r="R47" i="96" s="1"/>
  <c r="S47" i="96" s="1"/>
  <c r="T47" i="96" s="1"/>
  <c r="U47" i="96" s="1"/>
  <c r="V47" i="96" s="1"/>
  <c r="W47" i="96" s="1"/>
  <c r="X47" i="96" s="1"/>
  <c r="Y47" i="96" s="1"/>
  <c r="Z47" i="96" s="1"/>
  <c r="F56" i="81"/>
  <c r="G46" i="96" s="1"/>
  <c r="H46" i="96" s="1"/>
  <c r="I46" i="96" s="1"/>
  <c r="J46" i="96" s="1"/>
  <c r="K46" i="96" s="1"/>
  <c r="L46" i="96" s="1"/>
  <c r="M46" i="96" s="1"/>
  <c r="N46" i="96" s="1"/>
  <c r="O46" i="96" s="1"/>
  <c r="P46" i="96" s="1"/>
  <c r="Q46" i="96" s="1"/>
  <c r="R46" i="96" s="1"/>
  <c r="S46" i="96" s="1"/>
  <c r="T46" i="96" s="1"/>
  <c r="U46" i="96" s="1"/>
  <c r="V46" i="96" s="1"/>
  <c r="W46" i="96" s="1"/>
  <c r="X46" i="96" s="1"/>
  <c r="Y46" i="96" s="1"/>
  <c r="Z46" i="96" s="1"/>
  <c r="F55" i="81"/>
  <c r="G45" i="96" s="1"/>
  <c r="H45" i="96" s="1"/>
  <c r="I45" i="96" s="1"/>
  <c r="J45" i="96" s="1"/>
  <c r="K45" i="96" s="1"/>
  <c r="L45" i="96" s="1"/>
  <c r="M45" i="96" s="1"/>
  <c r="N45" i="96" s="1"/>
  <c r="O45" i="96" s="1"/>
  <c r="P45" i="96" s="1"/>
  <c r="Q45" i="96" s="1"/>
  <c r="R45" i="96" s="1"/>
  <c r="S45" i="96" s="1"/>
  <c r="T45" i="96" s="1"/>
  <c r="U45" i="96" s="1"/>
  <c r="V45" i="96" s="1"/>
  <c r="W45" i="96" s="1"/>
  <c r="X45" i="96" s="1"/>
  <c r="Y45" i="96" s="1"/>
  <c r="Z45" i="96" s="1"/>
  <c r="F54" i="81"/>
  <c r="G44" i="96" s="1"/>
  <c r="H44" i="96" s="1"/>
  <c r="I44" i="96" s="1"/>
  <c r="J44" i="96" s="1"/>
  <c r="K44" i="96" s="1"/>
  <c r="L44" i="96" s="1"/>
  <c r="M44" i="96" s="1"/>
  <c r="N44" i="96" s="1"/>
  <c r="O44" i="96" s="1"/>
  <c r="P44" i="96" s="1"/>
  <c r="Q44" i="96" s="1"/>
  <c r="R44" i="96" s="1"/>
  <c r="S44" i="96" s="1"/>
  <c r="T44" i="96" s="1"/>
  <c r="U44" i="96" s="1"/>
  <c r="V44" i="96" s="1"/>
  <c r="W44" i="96" s="1"/>
  <c r="X44" i="96" s="1"/>
  <c r="Y44" i="96" s="1"/>
  <c r="Z44" i="96" s="1"/>
  <c r="F53" i="81"/>
  <c r="G43" i="96" s="1"/>
  <c r="H43" i="96" s="1"/>
  <c r="I43" i="96" s="1"/>
  <c r="J43" i="96" s="1"/>
  <c r="K43" i="96" s="1"/>
  <c r="L43" i="96" s="1"/>
  <c r="M43" i="96" s="1"/>
  <c r="N43" i="96" s="1"/>
  <c r="O43" i="96" s="1"/>
  <c r="P43" i="96" s="1"/>
  <c r="Q43" i="96" s="1"/>
  <c r="R43" i="96" s="1"/>
  <c r="S43" i="96" s="1"/>
  <c r="T43" i="96" s="1"/>
  <c r="U43" i="96" s="1"/>
  <c r="V43" i="96" s="1"/>
  <c r="W43" i="96" s="1"/>
  <c r="X43" i="96" s="1"/>
  <c r="Y43" i="96" s="1"/>
  <c r="Z43" i="96" s="1"/>
  <c r="F52" i="81"/>
  <c r="G42" i="96" s="1"/>
  <c r="H42" i="96" s="1"/>
  <c r="I42" i="96" s="1"/>
  <c r="J42" i="96" s="1"/>
  <c r="K42" i="96" s="1"/>
  <c r="L42" i="96" s="1"/>
  <c r="M42" i="96" s="1"/>
  <c r="N42" i="96" s="1"/>
  <c r="O42" i="96" s="1"/>
  <c r="P42" i="96" s="1"/>
  <c r="Q42" i="96" s="1"/>
  <c r="R42" i="96" s="1"/>
  <c r="S42" i="96" s="1"/>
  <c r="T42" i="96" s="1"/>
  <c r="U42" i="96" s="1"/>
  <c r="V42" i="96" s="1"/>
  <c r="W42" i="96" s="1"/>
  <c r="X42" i="96" s="1"/>
  <c r="Y42" i="96" s="1"/>
  <c r="Z42" i="96" s="1"/>
  <c r="F51" i="81"/>
  <c r="G41" i="96" s="1"/>
  <c r="H41" i="96" s="1"/>
  <c r="I41" i="96" s="1"/>
  <c r="J41" i="96" s="1"/>
  <c r="K41" i="96" s="1"/>
  <c r="L41" i="96" s="1"/>
  <c r="M41" i="96" s="1"/>
  <c r="N41" i="96" s="1"/>
  <c r="O41" i="96" s="1"/>
  <c r="P41" i="96" s="1"/>
  <c r="Q41" i="96" s="1"/>
  <c r="R41" i="96" s="1"/>
  <c r="S41" i="96" s="1"/>
  <c r="T41" i="96" s="1"/>
  <c r="U41" i="96" s="1"/>
  <c r="V41" i="96" s="1"/>
  <c r="W41" i="96" s="1"/>
  <c r="X41" i="96" s="1"/>
  <c r="Y41" i="96" s="1"/>
  <c r="Z41" i="96" s="1"/>
  <c r="F50" i="81"/>
  <c r="G26" i="96" s="1"/>
  <c r="F49" i="81"/>
  <c r="G25" i="96" s="1"/>
  <c r="H25" i="96" s="1"/>
  <c r="I25" i="96" s="1"/>
  <c r="J25" i="96" s="1"/>
  <c r="K25" i="96" s="1"/>
  <c r="L25" i="96" s="1"/>
  <c r="M25" i="96" s="1"/>
  <c r="N25" i="96" s="1"/>
  <c r="O25" i="96" s="1"/>
  <c r="P25" i="96" s="1"/>
  <c r="Q25" i="96" s="1"/>
  <c r="R25" i="96" s="1"/>
  <c r="S25" i="96" s="1"/>
  <c r="T25" i="96" s="1"/>
  <c r="U25" i="96" s="1"/>
  <c r="V25" i="96" s="1"/>
  <c r="W25" i="96" s="1"/>
  <c r="X25" i="96" s="1"/>
  <c r="Y25" i="96" s="1"/>
  <c r="Z25" i="96" s="1"/>
  <c r="F48" i="81"/>
  <c r="F47" i="81"/>
  <c r="G19" i="96" s="1"/>
  <c r="H19" i="96" s="1"/>
  <c r="I19" i="96" s="1"/>
  <c r="J19" i="96" s="1"/>
  <c r="K19" i="96" s="1"/>
  <c r="L19" i="96" s="1"/>
  <c r="M19" i="96" s="1"/>
  <c r="N19" i="96" s="1"/>
  <c r="O19" i="96" s="1"/>
  <c r="P19" i="96" s="1"/>
  <c r="Q19" i="96" s="1"/>
  <c r="R19" i="96" s="1"/>
  <c r="S19" i="96" s="1"/>
  <c r="T19" i="96" s="1"/>
  <c r="U19" i="96" s="1"/>
  <c r="V19" i="96" s="1"/>
  <c r="W19" i="96" s="1"/>
  <c r="X19" i="96" s="1"/>
  <c r="Y19" i="96" s="1"/>
  <c r="Z19" i="96" s="1"/>
  <c r="F45" i="81"/>
  <c r="G17" i="96" s="1"/>
  <c r="H17" i="96" s="1"/>
  <c r="I17" i="96" s="1"/>
  <c r="J17" i="96" s="1"/>
  <c r="K17" i="96" s="1"/>
  <c r="L17" i="96" s="1"/>
  <c r="M17" i="96" s="1"/>
  <c r="N17" i="96" s="1"/>
  <c r="O17" i="96" s="1"/>
  <c r="P17" i="96" s="1"/>
  <c r="Q17" i="96" s="1"/>
  <c r="R17" i="96" s="1"/>
  <c r="S17" i="96" s="1"/>
  <c r="T17" i="96" s="1"/>
  <c r="U17" i="96" s="1"/>
  <c r="V17" i="96" s="1"/>
  <c r="W17" i="96" s="1"/>
  <c r="X17" i="96" s="1"/>
  <c r="Y17" i="96" s="1"/>
  <c r="Z17" i="96" s="1"/>
  <c r="F44" i="81"/>
  <c r="G16" i="96" s="1"/>
  <c r="H16" i="96" s="1"/>
  <c r="I16" i="96" s="1"/>
  <c r="J16" i="96" s="1"/>
  <c r="K16" i="96" s="1"/>
  <c r="L16" i="96" s="1"/>
  <c r="M16" i="96" s="1"/>
  <c r="N16" i="96" s="1"/>
  <c r="O16" i="96" s="1"/>
  <c r="P16" i="96" s="1"/>
  <c r="Q16" i="96" s="1"/>
  <c r="R16" i="96" s="1"/>
  <c r="S16" i="96" s="1"/>
  <c r="T16" i="96" s="1"/>
  <c r="U16" i="96" s="1"/>
  <c r="V16" i="96" s="1"/>
  <c r="W16" i="96" s="1"/>
  <c r="X16" i="96" s="1"/>
  <c r="Y16" i="96" s="1"/>
  <c r="Z16" i="96" s="1"/>
  <c r="F40" i="81"/>
  <c r="F55" i="96" s="1"/>
  <c r="F39" i="81"/>
  <c r="G73" i="96" s="1"/>
  <c r="H73" i="96" s="1"/>
  <c r="I73" i="96" s="1"/>
  <c r="J73" i="96" s="1"/>
  <c r="K73" i="96" s="1"/>
  <c r="L73" i="96" s="1"/>
  <c r="M73" i="96" s="1"/>
  <c r="N73" i="96" s="1"/>
  <c r="O73" i="96" s="1"/>
  <c r="P73" i="96" s="1"/>
  <c r="Q73" i="96" s="1"/>
  <c r="R73" i="96" s="1"/>
  <c r="S73" i="96" s="1"/>
  <c r="T73" i="96" s="1"/>
  <c r="U73" i="96" s="1"/>
  <c r="V73" i="96" s="1"/>
  <c r="W73" i="96" s="1"/>
  <c r="X73" i="96" s="1"/>
  <c r="Y73" i="96" s="1"/>
  <c r="Z73" i="96" s="1"/>
  <c r="AA73" i="96" s="1"/>
  <c r="F38" i="81"/>
  <c r="F72" i="96" s="1"/>
  <c r="F37" i="81"/>
  <c r="F61" i="96" s="1"/>
  <c r="F36" i="81"/>
  <c r="F109" i="96" s="1"/>
  <c r="F35" i="81"/>
  <c r="F34" i="81"/>
  <c r="F78" i="96" s="1"/>
  <c r="F33" i="81"/>
  <c r="F40" i="96" s="1"/>
  <c r="G40" i="96" s="1"/>
  <c r="H40" i="96" s="1"/>
  <c r="I40" i="96" s="1"/>
  <c r="J40" i="96" s="1"/>
  <c r="K40" i="96" s="1"/>
  <c r="L40" i="96" s="1"/>
  <c r="M40" i="96" s="1"/>
  <c r="N40" i="96" s="1"/>
  <c r="O40" i="96" s="1"/>
  <c r="P40" i="96" s="1"/>
  <c r="Q40" i="96" s="1"/>
  <c r="R40" i="96" s="1"/>
  <c r="S40" i="96" s="1"/>
  <c r="T40" i="96" s="1"/>
  <c r="U40" i="96" s="1"/>
  <c r="V40" i="96" s="1"/>
  <c r="W40" i="96" s="1"/>
  <c r="X40" i="96" s="1"/>
  <c r="Y40" i="96" s="1"/>
  <c r="F32" i="81"/>
  <c r="F39" i="96" s="1"/>
  <c r="F31" i="81"/>
  <c r="F38" i="96" s="1"/>
  <c r="F30" i="81"/>
  <c r="F29" i="81"/>
  <c r="F24" i="96" s="1"/>
  <c r="F28" i="81"/>
  <c r="F26" i="81"/>
  <c r="E26" i="81"/>
  <c r="E19" i="81" s="1"/>
  <c r="E28" i="81"/>
  <c r="E29" i="81"/>
  <c r="E17" i="81" s="1"/>
  <c r="E30" i="81"/>
  <c r="E31" i="81"/>
  <c r="E32" i="81"/>
  <c r="E33" i="81"/>
  <c r="E34" i="81"/>
  <c r="E36" i="81"/>
  <c r="E37" i="81"/>
  <c r="E38" i="81"/>
  <c r="E39" i="81"/>
  <c r="E40" i="81"/>
  <c r="I50" i="79"/>
  <c r="H50" i="79"/>
  <c r="I38" i="79"/>
  <c r="H27" i="79"/>
  <c r="I27" i="79" s="1"/>
  <c r="E21" i="81" l="1"/>
  <c r="G32" i="96"/>
  <c r="G33" i="96" s="1"/>
  <c r="F18" i="81"/>
  <c r="F37" i="96"/>
  <c r="G37" i="96" s="1"/>
  <c r="H37" i="96" s="1"/>
  <c r="I37" i="96" s="1"/>
  <c r="J37" i="96" s="1"/>
  <c r="K37" i="96" s="1"/>
  <c r="L37" i="96" s="1"/>
  <c r="M37" i="96" s="1"/>
  <c r="N37" i="96" s="1"/>
  <c r="O37" i="96" s="1"/>
  <c r="P37" i="96" s="1"/>
  <c r="Q37" i="96" s="1"/>
  <c r="R37" i="96" s="1"/>
  <c r="S37" i="96" s="1"/>
  <c r="T37" i="96" s="1"/>
  <c r="U37" i="96" s="1"/>
  <c r="V37" i="96" s="1"/>
  <c r="W37" i="96" s="1"/>
  <c r="X37" i="96" s="1"/>
  <c r="Y37" i="96" s="1"/>
  <c r="AA51" i="96" s="1"/>
  <c r="F21" i="81"/>
  <c r="Z51" i="96"/>
  <c r="F14" i="96"/>
  <c r="F19" i="81"/>
  <c r="G24" i="96"/>
  <c r="H24" i="96" s="1"/>
  <c r="I24" i="96" s="1"/>
  <c r="J24" i="96" s="1"/>
  <c r="K24" i="96" s="1"/>
  <c r="L24" i="96" s="1"/>
  <c r="M24" i="96" s="1"/>
  <c r="N24" i="96" s="1"/>
  <c r="O24" i="96" s="1"/>
  <c r="P24" i="96" s="1"/>
  <c r="Q24" i="96" s="1"/>
  <c r="R24" i="96" s="1"/>
  <c r="S24" i="96" s="1"/>
  <c r="T24" i="96" s="1"/>
  <c r="U24" i="96" s="1"/>
  <c r="V24" i="96" s="1"/>
  <c r="W24" i="96" s="1"/>
  <c r="X24" i="96" s="1"/>
  <c r="Y24" i="96" s="1"/>
  <c r="F27" i="96"/>
  <c r="F84" i="96"/>
  <c r="G78" i="96"/>
  <c r="G72" i="96"/>
  <c r="F74" i="96"/>
  <c r="G55" i="96"/>
  <c r="F57" i="96"/>
  <c r="G61" i="96"/>
  <c r="F63" i="96"/>
  <c r="H32" i="96"/>
  <c r="H116" i="96"/>
  <c r="G120" i="96"/>
  <c r="G99" i="96"/>
  <c r="G110" i="96"/>
  <c r="H110" i="96" s="1"/>
  <c r="I110" i="96" s="1"/>
  <c r="J110" i="96" s="1"/>
  <c r="K110" i="96" s="1"/>
  <c r="L110" i="96" s="1"/>
  <c r="M110" i="96" s="1"/>
  <c r="N110" i="96" s="1"/>
  <c r="O110" i="96" s="1"/>
  <c r="P110" i="96" s="1"/>
  <c r="Q110" i="96" s="1"/>
  <c r="R110" i="96" s="1"/>
  <c r="S110" i="96" s="1"/>
  <c r="T110" i="96" s="1"/>
  <c r="U110" i="96" s="1"/>
  <c r="V110" i="96" s="1"/>
  <c r="W110" i="96" s="1"/>
  <c r="X110" i="96" s="1"/>
  <c r="Y110" i="96" s="1"/>
  <c r="Z110" i="96" s="1"/>
  <c r="G88" i="96"/>
  <c r="G104" i="96"/>
  <c r="G93" i="96"/>
  <c r="H26" i="96"/>
  <c r="G67" i="96"/>
  <c r="H67" i="96" s="1"/>
  <c r="F80" i="81"/>
  <c r="G38" i="96"/>
  <c r="H38" i="96" s="1"/>
  <c r="I38" i="96" s="1"/>
  <c r="J38" i="96" s="1"/>
  <c r="K38" i="96" s="1"/>
  <c r="L38" i="96" s="1"/>
  <c r="M38" i="96" s="1"/>
  <c r="N38" i="96" s="1"/>
  <c r="O38" i="96" s="1"/>
  <c r="P38" i="96" s="1"/>
  <c r="Q38" i="96" s="1"/>
  <c r="R38" i="96" s="1"/>
  <c r="S38" i="96" s="1"/>
  <c r="T38" i="96" s="1"/>
  <c r="U38" i="96" s="1"/>
  <c r="V38" i="96" s="1"/>
  <c r="W38" i="96" s="1"/>
  <c r="X38" i="96" s="1"/>
  <c r="Y38" i="96" s="1"/>
  <c r="E41" i="81"/>
  <c r="G39" i="96"/>
  <c r="F51" i="96"/>
  <c r="G109" i="96"/>
  <c r="F111" i="96"/>
  <c r="H8" i="96"/>
  <c r="G10" i="96"/>
  <c r="F41" i="81"/>
  <c r="F48" i="84"/>
  <c r="E48" i="84"/>
  <c r="C6" i="71"/>
  <c r="D6" i="71"/>
  <c r="D10" i="71" s="1"/>
  <c r="F124" i="96" l="1"/>
  <c r="F125" i="96" s="1"/>
  <c r="G27" i="96"/>
  <c r="H61" i="96"/>
  <c r="G63" i="96"/>
  <c r="H55" i="96"/>
  <c r="G57" i="96"/>
  <c r="H72" i="96"/>
  <c r="G74" i="96"/>
  <c r="F20" i="96"/>
  <c r="G14" i="96"/>
  <c r="G124" i="96" s="1"/>
  <c r="G125" i="96" s="1"/>
  <c r="H78" i="96"/>
  <c r="G84" i="96"/>
  <c r="G68" i="96"/>
  <c r="H33" i="96"/>
  <c r="I32" i="96"/>
  <c r="I116" i="96"/>
  <c r="H120" i="96"/>
  <c r="H93" i="96"/>
  <c r="G94" i="96"/>
  <c r="H88" i="96"/>
  <c r="G89" i="96"/>
  <c r="H99" i="96"/>
  <c r="G100" i="96"/>
  <c r="H104" i="96"/>
  <c r="G105" i="96"/>
  <c r="I26" i="96"/>
  <c r="H27" i="96"/>
  <c r="H39" i="96"/>
  <c r="G51" i="96"/>
  <c r="I67" i="96"/>
  <c r="H68" i="96"/>
  <c r="H109" i="96"/>
  <c r="G111" i="96"/>
  <c r="I8" i="96"/>
  <c r="H10" i="96"/>
  <c r="H14" i="96" l="1"/>
  <c r="H124" i="96" s="1"/>
  <c r="H125" i="96" s="1"/>
  <c r="G20" i="96"/>
  <c r="I78" i="96"/>
  <c r="H84" i="96"/>
  <c r="I72" i="96"/>
  <c r="H74" i="96"/>
  <c r="I55" i="96"/>
  <c r="H57" i="96"/>
  <c r="I61" i="96"/>
  <c r="H63" i="96"/>
  <c r="I33" i="96"/>
  <c r="J32" i="96"/>
  <c r="J116" i="96"/>
  <c r="I120" i="96"/>
  <c r="I104" i="96"/>
  <c r="H105" i="96"/>
  <c r="I99" i="96"/>
  <c r="H100" i="96"/>
  <c r="I88" i="96"/>
  <c r="H89" i="96"/>
  <c r="I93" i="96"/>
  <c r="H94" i="96"/>
  <c r="J26" i="96"/>
  <c r="I27" i="96"/>
  <c r="I39" i="96"/>
  <c r="H51" i="96"/>
  <c r="J67" i="96"/>
  <c r="I68" i="96"/>
  <c r="I109" i="96"/>
  <c r="H111" i="96"/>
  <c r="J8" i="96"/>
  <c r="I10" i="96"/>
  <c r="C5" i="87"/>
  <c r="E12" i="81"/>
  <c r="E11" i="81"/>
  <c r="J61" i="96" l="1"/>
  <c r="I63" i="96"/>
  <c r="J55" i="96"/>
  <c r="I57" i="96"/>
  <c r="J72" i="96"/>
  <c r="I74" i="96"/>
  <c r="J78" i="96"/>
  <c r="I84" i="96"/>
  <c r="I14" i="96"/>
  <c r="H20" i="96"/>
  <c r="K32" i="96"/>
  <c r="J33" i="96"/>
  <c r="K116" i="96"/>
  <c r="J120" i="96"/>
  <c r="J93" i="96"/>
  <c r="I94" i="96"/>
  <c r="J88" i="96"/>
  <c r="I89" i="96"/>
  <c r="J99" i="96"/>
  <c r="I100" i="96"/>
  <c r="J104" i="96"/>
  <c r="I105" i="96"/>
  <c r="K26" i="96"/>
  <c r="J27" i="96"/>
  <c r="I124" i="96"/>
  <c r="I125" i="96" s="1"/>
  <c r="J39" i="96"/>
  <c r="I51" i="96"/>
  <c r="K67" i="96"/>
  <c r="J68" i="96"/>
  <c r="J109" i="96"/>
  <c r="I111" i="96"/>
  <c r="K8" i="96"/>
  <c r="J10" i="96"/>
  <c r="J14" i="96" l="1"/>
  <c r="J124" i="96" s="1"/>
  <c r="J125" i="96" s="1"/>
  <c r="I20" i="96"/>
  <c r="K78" i="96"/>
  <c r="J84" i="96"/>
  <c r="K72" i="96"/>
  <c r="J74" i="96"/>
  <c r="K55" i="96"/>
  <c r="J57" i="96"/>
  <c r="K61" i="96"/>
  <c r="J63" i="96"/>
  <c r="K33" i="96"/>
  <c r="L32" i="96"/>
  <c r="L116" i="96"/>
  <c r="K120" i="96"/>
  <c r="K104" i="96"/>
  <c r="J105" i="96"/>
  <c r="K99" i="96"/>
  <c r="J100" i="96"/>
  <c r="K88" i="96"/>
  <c r="J89" i="96"/>
  <c r="K93" i="96"/>
  <c r="J94" i="96"/>
  <c r="L26" i="96"/>
  <c r="K27" i="96"/>
  <c r="K39" i="96"/>
  <c r="J51" i="96"/>
  <c r="L67" i="96"/>
  <c r="K68" i="96"/>
  <c r="K109" i="96"/>
  <c r="J111" i="96"/>
  <c r="L8" i="96"/>
  <c r="K10" i="96"/>
  <c r="O74" i="92"/>
  <c r="N74" i="92"/>
  <c r="M74" i="92"/>
  <c r="M72" i="92" s="1"/>
  <c r="L74" i="92"/>
  <c r="K74" i="92"/>
  <c r="J74" i="92"/>
  <c r="I74" i="92"/>
  <c r="I72" i="92" s="1"/>
  <c r="H74" i="92"/>
  <c r="G74" i="92"/>
  <c r="F74" i="92"/>
  <c r="E74" i="92"/>
  <c r="E72" i="92" s="1"/>
  <c r="D74" i="92"/>
  <c r="C74" i="92"/>
  <c r="B74" i="92"/>
  <c r="B72" i="92" s="1"/>
  <c r="O73" i="92"/>
  <c r="O72" i="92" s="1"/>
  <c r="N73" i="92"/>
  <c r="M73" i="92"/>
  <c r="L73" i="92"/>
  <c r="L72" i="92" s="1"/>
  <c r="K73" i="92"/>
  <c r="K72" i="92" s="1"/>
  <c r="J73" i="92"/>
  <c r="I73" i="92"/>
  <c r="H73" i="92"/>
  <c r="H72" i="92" s="1"/>
  <c r="E73" i="92"/>
  <c r="D73" i="92"/>
  <c r="B73" i="92"/>
  <c r="N72" i="92"/>
  <c r="J72" i="92"/>
  <c r="D72" i="92"/>
  <c r="O66" i="92"/>
  <c r="N66" i="92"/>
  <c r="M66" i="92"/>
  <c r="M64" i="92" s="1"/>
  <c r="L66" i="92"/>
  <c r="K66" i="92"/>
  <c r="J66" i="92"/>
  <c r="I66" i="92"/>
  <c r="H66" i="92"/>
  <c r="G66" i="92"/>
  <c r="F66" i="92"/>
  <c r="E66" i="92"/>
  <c r="D66" i="92"/>
  <c r="C66" i="92"/>
  <c r="B66" i="92"/>
  <c r="O65" i="92"/>
  <c r="O64" i="92" s="1"/>
  <c r="N65" i="92"/>
  <c r="M65" i="92"/>
  <c r="N64" i="92"/>
  <c r="O62" i="92"/>
  <c r="O70" i="92" s="1"/>
  <c r="N62" i="92"/>
  <c r="N70" i="92" s="1"/>
  <c r="M62" i="92"/>
  <c r="M70" i="92" s="1"/>
  <c r="L62" i="92"/>
  <c r="L70" i="92" s="1"/>
  <c r="K62" i="92"/>
  <c r="K70" i="92" s="1"/>
  <c r="J62" i="92"/>
  <c r="J70" i="92" s="1"/>
  <c r="I62" i="92"/>
  <c r="I70" i="92" s="1"/>
  <c r="H62" i="92"/>
  <c r="H70" i="92" s="1"/>
  <c r="G62" i="92"/>
  <c r="G70" i="92" s="1"/>
  <c r="F62" i="92"/>
  <c r="F70" i="92" s="1"/>
  <c r="E62" i="92"/>
  <c r="E70" i="92" s="1"/>
  <c r="D62" i="92"/>
  <c r="D70" i="92" s="1"/>
  <c r="C62" i="92"/>
  <c r="C70" i="92" s="1"/>
  <c r="B62" i="92"/>
  <c r="B70" i="92" s="1"/>
  <c r="O61" i="92"/>
  <c r="O69" i="92" s="1"/>
  <c r="N61" i="92"/>
  <c r="N69" i="92" s="1"/>
  <c r="M61" i="92"/>
  <c r="M69" i="92" s="1"/>
  <c r="N60" i="92"/>
  <c r="O58" i="92"/>
  <c r="N58" i="92"/>
  <c r="M58" i="92"/>
  <c r="L58" i="92"/>
  <c r="K58" i="92"/>
  <c r="J58" i="92"/>
  <c r="I58" i="92"/>
  <c r="H58" i="92"/>
  <c r="G58" i="92"/>
  <c r="F58" i="92"/>
  <c r="E58" i="92"/>
  <c r="D58" i="92"/>
  <c r="C58" i="92"/>
  <c r="B58" i="92"/>
  <c r="O57" i="92"/>
  <c r="O56" i="92" s="1"/>
  <c r="N57" i="92"/>
  <c r="M57" i="92"/>
  <c r="N56" i="92"/>
  <c r="G53" i="92"/>
  <c r="F53" i="92"/>
  <c r="C53" i="92"/>
  <c r="C52" i="92" s="1"/>
  <c r="B53" i="92"/>
  <c r="B52" i="92" s="1"/>
  <c r="O52" i="92"/>
  <c r="N52" i="92"/>
  <c r="M52" i="92"/>
  <c r="L52" i="92"/>
  <c r="K52" i="92"/>
  <c r="J52" i="92"/>
  <c r="I52" i="92"/>
  <c r="H52" i="92"/>
  <c r="G52" i="92"/>
  <c r="F52" i="92"/>
  <c r="E52" i="92"/>
  <c r="D52" i="92"/>
  <c r="G50" i="92"/>
  <c r="F50" i="92"/>
  <c r="C50" i="92"/>
  <c r="B50" i="92"/>
  <c r="O49" i="92"/>
  <c r="N49" i="92"/>
  <c r="M49" i="92"/>
  <c r="L49" i="92"/>
  <c r="K49" i="92"/>
  <c r="J49" i="92"/>
  <c r="I49" i="92"/>
  <c r="H49" i="92"/>
  <c r="G49" i="92"/>
  <c r="F49" i="92"/>
  <c r="E49" i="92"/>
  <c r="D49" i="92"/>
  <c r="C49" i="92"/>
  <c r="B49" i="92"/>
  <c r="G47" i="92"/>
  <c r="F47" i="92"/>
  <c r="O46" i="92"/>
  <c r="N46" i="92"/>
  <c r="M46" i="92"/>
  <c r="L46" i="92"/>
  <c r="K46" i="92"/>
  <c r="J46" i="92"/>
  <c r="I46" i="92"/>
  <c r="H46" i="92"/>
  <c r="G46" i="92"/>
  <c r="F46" i="92"/>
  <c r="E46" i="92"/>
  <c r="D46" i="92"/>
  <c r="C46" i="92"/>
  <c r="B46" i="92"/>
  <c r="G44" i="92"/>
  <c r="G43" i="92" s="1"/>
  <c r="F44" i="92"/>
  <c r="C44" i="92"/>
  <c r="O43" i="92"/>
  <c r="N43" i="92"/>
  <c r="M43" i="92"/>
  <c r="L43" i="92"/>
  <c r="K43" i="92"/>
  <c r="J43" i="92"/>
  <c r="I43" i="92"/>
  <c r="H43" i="92"/>
  <c r="F43" i="92"/>
  <c r="E43" i="92"/>
  <c r="D43" i="92"/>
  <c r="C43" i="92"/>
  <c r="B43" i="92"/>
  <c r="G41" i="92"/>
  <c r="F41" i="92"/>
  <c r="F40" i="92" s="1"/>
  <c r="C41" i="92"/>
  <c r="O40" i="92"/>
  <c r="N40" i="92"/>
  <c r="M40" i="92"/>
  <c r="L40" i="92"/>
  <c r="K40" i="92"/>
  <c r="J40" i="92"/>
  <c r="I40" i="92"/>
  <c r="H40" i="92"/>
  <c r="G40" i="92"/>
  <c r="E40" i="92"/>
  <c r="D40" i="92"/>
  <c r="C40" i="92"/>
  <c r="B40" i="92"/>
  <c r="G38" i="92"/>
  <c r="G37" i="92" s="1"/>
  <c r="F38" i="92"/>
  <c r="C38" i="92"/>
  <c r="C37" i="92" s="1"/>
  <c r="O37" i="92"/>
  <c r="N37" i="92"/>
  <c r="M37" i="92"/>
  <c r="L37" i="92"/>
  <c r="K37" i="92"/>
  <c r="J37" i="92"/>
  <c r="I37" i="92"/>
  <c r="H37" i="92"/>
  <c r="F37" i="92"/>
  <c r="E37" i="92"/>
  <c r="D37" i="92"/>
  <c r="B37" i="92"/>
  <c r="C35" i="92"/>
  <c r="C34" i="92" s="1"/>
  <c r="O34" i="92"/>
  <c r="N34" i="92"/>
  <c r="M34" i="92"/>
  <c r="L34" i="92"/>
  <c r="K34" i="92"/>
  <c r="J34" i="92"/>
  <c r="I34" i="92"/>
  <c r="H34" i="92"/>
  <c r="G34" i="92"/>
  <c r="F34" i="92"/>
  <c r="E34" i="92"/>
  <c r="D34" i="92"/>
  <c r="B34" i="92"/>
  <c r="C32" i="92"/>
  <c r="C31" i="92" s="1"/>
  <c r="O31" i="92"/>
  <c r="N31" i="92"/>
  <c r="M31" i="92"/>
  <c r="L31" i="92"/>
  <c r="K31" i="92"/>
  <c r="J31" i="92"/>
  <c r="I31" i="92"/>
  <c r="H31" i="92"/>
  <c r="G31" i="92"/>
  <c r="F31" i="92"/>
  <c r="E31" i="92"/>
  <c r="D31" i="92"/>
  <c r="B31" i="92"/>
  <c r="G29" i="92"/>
  <c r="G73" i="92" s="1"/>
  <c r="G72" i="92" s="1"/>
  <c r="F29" i="92"/>
  <c r="F73" i="92" s="1"/>
  <c r="O28" i="92"/>
  <c r="N28" i="92"/>
  <c r="M28" i="92"/>
  <c r="L28" i="92"/>
  <c r="K28" i="92"/>
  <c r="J28" i="92"/>
  <c r="I28" i="92"/>
  <c r="H28" i="92"/>
  <c r="F28" i="92"/>
  <c r="E28" i="92"/>
  <c r="D28" i="92"/>
  <c r="C28" i="92"/>
  <c r="B28" i="92"/>
  <c r="G26" i="92"/>
  <c r="F26" i="92"/>
  <c r="O25" i="92"/>
  <c r="N25" i="92"/>
  <c r="M25" i="92"/>
  <c r="L25" i="92"/>
  <c r="K25" i="92"/>
  <c r="J25" i="92"/>
  <c r="I25" i="92"/>
  <c r="H25" i="92"/>
  <c r="G25" i="92"/>
  <c r="F25" i="92"/>
  <c r="E25" i="92"/>
  <c r="D25" i="92"/>
  <c r="C25" i="92"/>
  <c r="B25" i="92"/>
  <c r="L23" i="92"/>
  <c r="L65" i="92" s="1"/>
  <c r="L64" i="92" s="1"/>
  <c r="K23" i="92"/>
  <c r="K65" i="92" s="1"/>
  <c r="K64" i="92" s="1"/>
  <c r="J23" i="92"/>
  <c r="J65" i="92" s="1"/>
  <c r="J64" i="92" s="1"/>
  <c r="I23" i="92"/>
  <c r="I65" i="92" s="1"/>
  <c r="I64" i="92" s="1"/>
  <c r="H23" i="92"/>
  <c r="H65" i="92" s="1"/>
  <c r="H64" i="92" s="1"/>
  <c r="G23" i="92"/>
  <c r="G65" i="92" s="1"/>
  <c r="G64" i="92" s="1"/>
  <c r="F23" i="92"/>
  <c r="F65" i="92" s="1"/>
  <c r="F64" i="92" s="1"/>
  <c r="E23" i="92"/>
  <c r="E65" i="92" s="1"/>
  <c r="E64" i="92" s="1"/>
  <c r="D23" i="92"/>
  <c r="D65" i="92" s="1"/>
  <c r="D64" i="92" s="1"/>
  <c r="C23" i="92"/>
  <c r="C65" i="92" s="1"/>
  <c r="C64" i="92" s="1"/>
  <c r="B23" i="92"/>
  <c r="B65" i="92" s="1"/>
  <c r="B64" i="92" s="1"/>
  <c r="O22" i="92"/>
  <c r="N22" i="92"/>
  <c r="M22" i="92"/>
  <c r="L22" i="92"/>
  <c r="K22" i="92"/>
  <c r="H22" i="92"/>
  <c r="G22" i="92"/>
  <c r="D22" i="92"/>
  <c r="C22" i="92"/>
  <c r="C20" i="92"/>
  <c r="C19" i="92" s="1"/>
  <c r="O19" i="92"/>
  <c r="N19" i="92"/>
  <c r="M19" i="92"/>
  <c r="L19" i="92"/>
  <c r="K19" i="92"/>
  <c r="J19" i="92"/>
  <c r="I19" i="92"/>
  <c r="H19" i="92"/>
  <c r="G19" i="92"/>
  <c r="F19" i="92"/>
  <c r="E19" i="92"/>
  <c r="D19" i="92"/>
  <c r="B19" i="92"/>
  <c r="G17" i="92"/>
  <c r="G16" i="92" s="1"/>
  <c r="F17" i="92"/>
  <c r="F16" i="92" s="1"/>
  <c r="C17" i="92"/>
  <c r="C61" i="92" s="1"/>
  <c r="O16" i="92"/>
  <c r="N16" i="92"/>
  <c r="M16" i="92"/>
  <c r="L16" i="92"/>
  <c r="K16" i="92"/>
  <c r="J16" i="92"/>
  <c r="I16" i="92"/>
  <c r="H16" i="92"/>
  <c r="E16" i="92"/>
  <c r="D16" i="92"/>
  <c r="C16" i="92"/>
  <c r="B16" i="92"/>
  <c r="O13" i="92"/>
  <c r="N13" i="92"/>
  <c r="M13" i="92"/>
  <c r="L13" i="92"/>
  <c r="K13" i="92"/>
  <c r="J13" i="92"/>
  <c r="I13" i="92"/>
  <c r="H13" i="92"/>
  <c r="G13" i="92"/>
  <c r="F13" i="92"/>
  <c r="E13" i="92"/>
  <c r="D13" i="92"/>
  <c r="C13" i="92"/>
  <c r="B13" i="92"/>
  <c r="O10" i="92"/>
  <c r="N10" i="92"/>
  <c r="M10" i="92"/>
  <c r="L10" i="92"/>
  <c r="K10" i="92"/>
  <c r="J10" i="92"/>
  <c r="I10" i="92"/>
  <c r="H10" i="92"/>
  <c r="G10" i="92"/>
  <c r="F10" i="92"/>
  <c r="E10" i="92"/>
  <c r="D10" i="92"/>
  <c r="C10" i="92"/>
  <c r="B10" i="92"/>
  <c r="O7" i="92"/>
  <c r="N7" i="92"/>
  <c r="M7" i="92"/>
  <c r="L7" i="92"/>
  <c r="K7" i="92"/>
  <c r="J7" i="92"/>
  <c r="I7" i="92"/>
  <c r="H7" i="92"/>
  <c r="G7" i="92"/>
  <c r="F7" i="92"/>
  <c r="E7" i="92"/>
  <c r="D7" i="92"/>
  <c r="C7" i="92"/>
  <c r="B7" i="92"/>
  <c r="G5" i="92"/>
  <c r="F5" i="92"/>
  <c r="F61" i="92" s="1"/>
  <c r="O4" i="92"/>
  <c r="N4" i="92"/>
  <c r="M4" i="92"/>
  <c r="L4" i="92"/>
  <c r="K4" i="92"/>
  <c r="J4" i="92"/>
  <c r="I4" i="92"/>
  <c r="H4" i="92"/>
  <c r="G4" i="92"/>
  <c r="E4" i="92"/>
  <c r="D4" i="92"/>
  <c r="C4" i="92"/>
  <c r="B4" i="92"/>
  <c r="E22" i="92" l="1"/>
  <c r="I22" i="92"/>
  <c r="F72" i="92"/>
  <c r="M56" i="92"/>
  <c r="O60" i="92"/>
  <c r="G61" i="92"/>
  <c r="F4" i="92"/>
  <c r="B22" i="92"/>
  <c r="F22" i="92"/>
  <c r="J22" i="92"/>
  <c r="M60" i="92"/>
  <c r="L61" i="96"/>
  <c r="K63" i="96"/>
  <c r="L55" i="96"/>
  <c r="K57" i="96"/>
  <c r="L72" i="96"/>
  <c r="K74" i="96"/>
  <c r="L78" i="96"/>
  <c r="K84" i="96"/>
  <c r="K14" i="96"/>
  <c r="K124" i="96" s="1"/>
  <c r="K125" i="96" s="1"/>
  <c r="J20" i="96"/>
  <c r="L33" i="96"/>
  <c r="M32" i="96"/>
  <c r="M116" i="96"/>
  <c r="L120" i="96"/>
  <c r="L93" i="96"/>
  <c r="K94" i="96"/>
  <c r="L88" i="96"/>
  <c r="K89" i="96"/>
  <c r="L99" i="96"/>
  <c r="K100" i="96"/>
  <c r="L104" i="96"/>
  <c r="K105" i="96"/>
  <c r="M26" i="96"/>
  <c r="L27" i="96"/>
  <c r="L39" i="96"/>
  <c r="K51" i="96"/>
  <c r="M67" i="96"/>
  <c r="L68" i="96"/>
  <c r="L109" i="96"/>
  <c r="K111" i="96"/>
  <c r="M8" i="96"/>
  <c r="L10" i="96"/>
  <c r="F69" i="92"/>
  <c r="F60" i="92"/>
  <c r="M68" i="92"/>
  <c r="O68" i="92"/>
  <c r="G69" i="92"/>
  <c r="G68" i="92" s="1"/>
  <c r="G60" i="92"/>
  <c r="C69" i="92"/>
  <c r="C68" i="92" s="1"/>
  <c r="C60" i="92"/>
  <c r="F68" i="92"/>
  <c r="N68" i="92"/>
  <c r="C57" i="92"/>
  <c r="C56" i="92" s="1"/>
  <c r="E57" i="92"/>
  <c r="E56" i="92" s="1"/>
  <c r="G57" i="92"/>
  <c r="G56" i="92" s="1"/>
  <c r="I57" i="92"/>
  <c r="I56" i="92" s="1"/>
  <c r="K57" i="92"/>
  <c r="K56" i="92" s="1"/>
  <c r="E61" i="92"/>
  <c r="I61" i="92"/>
  <c r="K61" i="92"/>
  <c r="C73" i="92"/>
  <c r="C72" i="92" s="1"/>
  <c r="B57" i="92"/>
  <c r="B56" i="92" s="1"/>
  <c r="D57" i="92"/>
  <c r="D56" i="92" s="1"/>
  <c r="F57" i="92"/>
  <c r="F56" i="92" s="1"/>
  <c r="H57" i="92"/>
  <c r="H56" i="92" s="1"/>
  <c r="J57" i="92"/>
  <c r="J56" i="92" s="1"/>
  <c r="L57" i="92"/>
  <c r="L56" i="92" s="1"/>
  <c r="B61" i="92"/>
  <c r="D61" i="92"/>
  <c r="H61" i="92"/>
  <c r="J61" i="92"/>
  <c r="L61" i="92"/>
  <c r="L14" i="96" l="1"/>
  <c r="L124" i="96" s="1"/>
  <c r="L125" i="96" s="1"/>
  <c r="K20" i="96"/>
  <c r="M78" i="96"/>
  <c r="L84" i="96"/>
  <c r="M72" i="96"/>
  <c r="L74" i="96"/>
  <c r="M55" i="96"/>
  <c r="L57" i="96"/>
  <c r="M61" i="96"/>
  <c r="L63" i="96"/>
  <c r="M33" i="96"/>
  <c r="N32" i="96"/>
  <c r="N116" i="96"/>
  <c r="M120" i="96"/>
  <c r="M104" i="96"/>
  <c r="L105" i="96"/>
  <c r="M99" i="96"/>
  <c r="L100" i="96"/>
  <c r="M88" i="96"/>
  <c r="L89" i="96"/>
  <c r="M93" i="96"/>
  <c r="L94" i="96"/>
  <c r="N26" i="96"/>
  <c r="M27" i="96"/>
  <c r="M39" i="96"/>
  <c r="L51" i="96"/>
  <c r="N67" i="96"/>
  <c r="M68" i="96"/>
  <c r="M109" i="96"/>
  <c r="L111" i="96"/>
  <c r="Z84" i="96"/>
  <c r="Z20" i="96"/>
  <c r="N8" i="96"/>
  <c r="M10" i="96"/>
  <c r="I69" i="92"/>
  <c r="I68" i="92" s="1"/>
  <c r="I60" i="92"/>
  <c r="J69" i="92"/>
  <c r="J68" i="92" s="1"/>
  <c r="J60" i="92"/>
  <c r="D69" i="92"/>
  <c r="D68" i="92" s="1"/>
  <c r="D60" i="92"/>
  <c r="L69" i="92"/>
  <c r="L68" i="92" s="1"/>
  <c r="L60" i="92"/>
  <c r="H69" i="92"/>
  <c r="H68" i="92" s="1"/>
  <c r="H60" i="92"/>
  <c r="B69" i="92"/>
  <c r="B68" i="92" s="1"/>
  <c r="B60" i="92"/>
  <c r="K69" i="92"/>
  <c r="K68" i="92" s="1"/>
  <c r="K60" i="92"/>
  <c r="E69" i="92"/>
  <c r="E68" i="92" s="1"/>
  <c r="E60" i="92"/>
  <c r="E6" i="81"/>
  <c r="N70" i="81"/>
  <c r="K43" i="90"/>
  <c r="K106" i="90" s="1"/>
  <c r="I43" i="90"/>
  <c r="H43" i="90"/>
  <c r="C36" i="90"/>
  <c r="D36" i="90"/>
  <c r="D58" i="90" s="1"/>
  <c r="E36" i="90"/>
  <c r="F36" i="90"/>
  <c r="G36" i="90"/>
  <c r="H36" i="90"/>
  <c r="I36" i="90"/>
  <c r="J36" i="90"/>
  <c r="K36" i="90"/>
  <c r="L36" i="90"/>
  <c r="M36" i="90"/>
  <c r="N36" i="90"/>
  <c r="O36" i="90"/>
  <c r="P36" i="90"/>
  <c r="Q36" i="90"/>
  <c r="C37" i="90"/>
  <c r="C59" i="90" s="1"/>
  <c r="D37" i="90"/>
  <c r="E37" i="90"/>
  <c r="F37" i="90"/>
  <c r="G37" i="90"/>
  <c r="H37" i="90"/>
  <c r="I37" i="90"/>
  <c r="J37" i="90"/>
  <c r="K37" i="90"/>
  <c r="L37" i="90"/>
  <c r="M37" i="90"/>
  <c r="N37" i="90"/>
  <c r="O37" i="90"/>
  <c r="P37" i="90"/>
  <c r="Q37" i="90"/>
  <c r="C38" i="90"/>
  <c r="C60" i="90" s="1"/>
  <c r="D38" i="90"/>
  <c r="E38" i="90"/>
  <c r="F38" i="90"/>
  <c r="G38" i="90"/>
  <c r="H38" i="90"/>
  <c r="I38" i="90"/>
  <c r="J38" i="90"/>
  <c r="K38" i="90"/>
  <c r="L38" i="90"/>
  <c r="M38" i="90"/>
  <c r="N38" i="90"/>
  <c r="O38" i="90"/>
  <c r="P38" i="90"/>
  <c r="Q38" i="90"/>
  <c r="C39" i="90"/>
  <c r="D39" i="90"/>
  <c r="D61" i="90" s="1"/>
  <c r="E39" i="90"/>
  <c r="F39" i="90"/>
  <c r="G39" i="90"/>
  <c r="H39" i="90"/>
  <c r="I39" i="90"/>
  <c r="J39" i="90"/>
  <c r="K39" i="90"/>
  <c r="L39" i="90"/>
  <c r="M39" i="90"/>
  <c r="N39" i="90"/>
  <c r="O39" i="90"/>
  <c r="P39" i="90"/>
  <c r="Q39" i="90"/>
  <c r="C40" i="90"/>
  <c r="D40" i="90"/>
  <c r="R40" i="90" s="1"/>
  <c r="E40" i="90"/>
  <c r="F40" i="90"/>
  <c r="G40" i="90"/>
  <c r="H40" i="90"/>
  <c r="I40" i="90"/>
  <c r="J40" i="90"/>
  <c r="K40" i="90"/>
  <c r="L40" i="90"/>
  <c r="M40" i="90"/>
  <c r="N40" i="90"/>
  <c r="O40" i="90"/>
  <c r="P40" i="90"/>
  <c r="Q40" i="90"/>
  <c r="C41" i="90"/>
  <c r="C104" i="90" s="1"/>
  <c r="E41" i="90"/>
  <c r="E104" i="90" s="1"/>
  <c r="G41" i="90"/>
  <c r="G104" i="90" s="1"/>
  <c r="H41" i="90"/>
  <c r="I41" i="90"/>
  <c r="I104" i="90" s="1"/>
  <c r="J41" i="90"/>
  <c r="J104" i="90" s="1"/>
  <c r="K41" i="90"/>
  <c r="K104" i="90" s="1"/>
  <c r="L41" i="90"/>
  <c r="N41" i="90"/>
  <c r="N104" i="90" s="1"/>
  <c r="O41" i="90"/>
  <c r="P41" i="90"/>
  <c r="Q41" i="90"/>
  <c r="Q104" i="90" s="1"/>
  <c r="C42" i="90"/>
  <c r="C64" i="90" s="1"/>
  <c r="C65" i="90" s="1"/>
  <c r="D42" i="90"/>
  <c r="D105" i="90" s="1"/>
  <c r="E42" i="90"/>
  <c r="F42" i="90"/>
  <c r="F105" i="90" s="1"/>
  <c r="G42" i="90"/>
  <c r="H42" i="90"/>
  <c r="H105" i="90" s="1"/>
  <c r="I42" i="90"/>
  <c r="J42" i="90"/>
  <c r="J105" i="90" s="1"/>
  <c r="K42" i="90"/>
  <c r="K105" i="90" s="1"/>
  <c r="L42" i="90"/>
  <c r="L105" i="90" s="1"/>
  <c r="M42" i="90"/>
  <c r="N42" i="90"/>
  <c r="N105" i="90" s="1"/>
  <c r="O42" i="90"/>
  <c r="O105" i="90" s="1"/>
  <c r="P42" i="90"/>
  <c r="P105" i="90" s="1"/>
  <c r="Q42" i="90"/>
  <c r="Q105" i="90" s="1"/>
  <c r="B42" i="90"/>
  <c r="B105" i="90" s="1"/>
  <c r="B40" i="90"/>
  <c r="R62" i="90" s="1"/>
  <c r="B39" i="90"/>
  <c r="B38" i="90"/>
  <c r="R60" i="90" s="1"/>
  <c r="B37" i="90"/>
  <c r="R59" i="90" s="1"/>
  <c r="B36" i="90"/>
  <c r="R58" i="90" s="1"/>
  <c r="F121" i="90"/>
  <c r="C121" i="90"/>
  <c r="F120" i="90"/>
  <c r="C120" i="90"/>
  <c r="F119" i="90"/>
  <c r="C119" i="90"/>
  <c r="L118" i="90"/>
  <c r="L120" i="90" s="1"/>
  <c r="L117" i="90"/>
  <c r="L116" i="90"/>
  <c r="L115" i="90"/>
  <c r="Q98" i="90"/>
  <c r="P98" i="90"/>
  <c r="O98" i="90"/>
  <c r="M98" i="90"/>
  <c r="L98" i="90"/>
  <c r="K98" i="90"/>
  <c r="J98" i="90"/>
  <c r="I98" i="90"/>
  <c r="H98" i="90"/>
  <c r="G98" i="90"/>
  <c r="F98" i="90"/>
  <c r="E98" i="90"/>
  <c r="D98" i="90"/>
  <c r="C98" i="90"/>
  <c r="B98" i="90"/>
  <c r="Q97" i="90"/>
  <c r="P97" i="90"/>
  <c r="O97" i="90"/>
  <c r="M97" i="90"/>
  <c r="L97" i="90"/>
  <c r="K97" i="90"/>
  <c r="J97" i="90"/>
  <c r="I97" i="90"/>
  <c r="H97" i="90"/>
  <c r="G97" i="90"/>
  <c r="F97" i="90"/>
  <c r="E97" i="90"/>
  <c r="D97" i="90"/>
  <c r="C97" i="90"/>
  <c r="B97" i="90"/>
  <c r="Q96" i="90"/>
  <c r="P96" i="90"/>
  <c r="O96" i="90"/>
  <c r="M96" i="90"/>
  <c r="L96" i="90"/>
  <c r="K96" i="90"/>
  <c r="J96" i="90"/>
  <c r="I96" i="90"/>
  <c r="H96" i="90"/>
  <c r="G96" i="90"/>
  <c r="F96" i="90"/>
  <c r="E96" i="90"/>
  <c r="D96" i="90"/>
  <c r="C96" i="90"/>
  <c r="B96" i="90"/>
  <c r="Q95" i="90"/>
  <c r="P95" i="90"/>
  <c r="O95" i="90"/>
  <c r="M95" i="90"/>
  <c r="L95" i="90"/>
  <c r="K95" i="90"/>
  <c r="J95" i="90"/>
  <c r="I95" i="90"/>
  <c r="H95" i="90"/>
  <c r="G95" i="90"/>
  <c r="F95" i="90"/>
  <c r="E95" i="90"/>
  <c r="D95" i="90"/>
  <c r="C95" i="90"/>
  <c r="B95" i="90"/>
  <c r="Q94" i="90"/>
  <c r="P94" i="90"/>
  <c r="O94" i="90"/>
  <c r="N94" i="90"/>
  <c r="M94" i="90"/>
  <c r="L94" i="90"/>
  <c r="K94" i="90"/>
  <c r="J94" i="90"/>
  <c r="I94" i="90"/>
  <c r="H94" i="90"/>
  <c r="G94" i="90"/>
  <c r="F94" i="90"/>
  <c r="E94" i="90"/>
  <c r="D94" i="90"/>
  <c r="C94" i="90"/>
  <c r="B94" i="90"/>
  <c r="Q93" i="90"/>
  <c r="P93" i="90"/>
  <c r="O93" i="90"/>
  <c r="N93" i="90"/>
  <c r="M93" i="90"/>
  <c r="L93" i="90"/>
  <c r="K93" i="90"/>
  <c r="J93" i="90"/>
  <c r="I93" i="90"/>
  <c r="H93" i="90"/>
  <c r="G93" i="90"/>
  <c r="F93" i="90"/>
  <c r="E93" i="90"/>
  <c r="D93" i="90"/>
  <c r="C93" i="90"/>
  <c r="B93" i="90"/>
  <c r="Q92" i="90"/>
  <c r="P92" i="90"/>
  <c r="O92" i="90"/>
  <c r="N92" i="90"/>
  <c r="M92" i="90"/>
  <c r="L92" i="90"/>
  <c r="K92" i="90"/>
  <c r="J92" i="90"/>
  <c r="I92" i="90"/>
  <c r="H92" i="90"/>
  <c r="G92" i="90"/>
  <c r="F92" i="90"/>
  <c r="E92" i="90"/>
  <c r="D92" i="90"/>
  <c r="C92" i="90"/>
  <c r="B92" i="90"/>
  <c r="Q91" i="90"/>
  <c r="P91" i="90"/>
  <c r="O91" i="90"/>
  <c r="N91" i="90"/>
  <c r="M91" i="90"/>
  <c r="L91" i="90"/>
  <c r="K91" i="90"/>
  <c r="J91" i="90"/>
  <c r="I91" i="90"/>
  <c r="H91" i="90"/>
  <c r="G91" i="90"/>
  <c r="F91" i="90"/>
  <c r="E91" i="90"/>
  <c r="D91" i="90"/>
  <c r="C91" i="90"/>
  <c r="B91" i="90"/>
  <c r="R83" i="90"/>
  <c r="I105" i="90"/>
  <c r="G105" i="90"/>
  <c r="E105" i="90"/>
  <c r="O104" i="90"/>
  <c r="L104" i="90"/>
  <c r="H104" i="90"/>
  <c r="Q80" i="90"/>
  <c r="P80" i="90"/>
  <c r="P103" i="90" s="1"/>
  <c r="O80" i="90"/>
  <c r="O103" i="90" s="1"/>
  <c r="N80" i="90"/>
  <c r="M80" i="90"/>
  <c r="L80" i="90"/>
  <c r="L103" i="90" s="1"/>
  <c r="K80" i="90"/>
  <c r="K103" i="90" s="1"/>
  <c r="J80" i="90"/>
  <c r="J103" i="90" s="1"/>
  <c r="I80" i="90"/>
  <c r="H80" i="90"/>
  <c r="H103" i="90" s="1"/>
  <c r="G80" i="90"/>
  <c r="G103" i="90" s="1"/>
  <c r="F80" i="90"/>
  <c r="F103" i="90" s="1"/>
  <c r="E80" i="90"/>
  <c r="D80" i="90"/>
  <c r="D103" i="90" s="1"/>
  <c r="C80" i="90"/>
  <c r="C103" i="90" s="1"/>
  <c r="B103" i="90"/>
  <c r="Q79" i="90"/>
  <c r="P79" i="90"/>
  <c r="O79" i="90"/>
  <c r="N79" i="90"/>
  <c r="N102" i="90" s="1"/>
  <c r="M79" i="90"/>
  <c r="L79" i="90"/>
  <c r="K79" i="90"/>
  <c r="J79" i="90"/>
  <c r="J102" i="90" s="1"/>
  <c r="I79" i="90"/>
  <c r="H79" i="90"/>
  <c r="G79" i="90"/>
  <c r="F79" i="90"/>
  <c r="F102" i="90" s="1"/>
  <c r="E79" i="90"/>
  <c r="D79" i="90"/>
  <c r="C79" i="90"/>
  <c r="B79" i="90"/>
  <c r="B102" i="90" s="1"/>
  <c r="Q78" i="90"/>
  <c r="Q101" i="90" s="1"/>
  <c r="P78" i="90"/>
  <c r="P101" i="90" s="1"/>
  <c r="O78" i="90"/>
  <c r="O101" i="90" s="1"/>
  <c r="N78" i="90"/>
  <c r="M78" i="90"/>
  <c r="M101" i="90" s="1"/>
  <c r="L78" i="90"/>
  <c r="L101" i="90" s="1"/>
  <c r="K78" i="90"/>
  <c r="K101" i="90" s="1"/>
  <c r="J78" i="90"/>
  <c r="I78" i="90"/>
  <c r="I101" i="90" s="1"/>
  <c r="H78" i="90"/>
  <c r="H101" i="90" s="1"/>
  <c r="G78" i="90"/>
  <c r="G101" i="90" s="1"/>
  <c r="F78" i="90"/>
  <c r="E78" i="90"/>
  <c r="E101" i="90" s="1"/>
  <c r="D78" i="90"/>
  <c r="D101" i="90" s="1"/>
  <c r="C78" i="90"/>
  <c r="C101" i="90" s="1"/>
  <c r="B78" i="90"/>
  <c r="Q77" i="90"/>
  <c r="P77" i="90"/>
  <c r="O77" i="90"/>
  <c r="N77" i="90"/>
  <c r="M77" i="90"/>
  <c r="L77" i="90"/>
  <c r="L100" i="90" s="1"/>
  <c r="K77" i="90"/>
  <c r="J77" i="90"/>
  <c r="I77" i="90"/>
  <c r="H77" i="90"/>
  <c r="H100" i="90" s="1"/>
  <c r="G77" i="90"/>
  <c r="F77" i="90"/>
  <c r="E77" i="90"/>
  <c r="D77" i="90"/>
  <c r="D100" i="90" s="1"/>
  <c r="C77" i="90"/>
  <c r="B77" i="90"/>
  <c r="Q76" i="90"/>
  <c r="P76" i="90"/>
  <c r="P99" i="90" s="1"/>
  <c r="O76" i="90"/>
  <c r="O99" i="90" s="1"/>
  <c r="N76" i="90"/>
  <c r="M76" i="90"/>
  <c r="L76" i="90"/>
  <c r="L99" i="90" s="1"/>
  <c r="K76" i="90"/>
  <c r="K99" i="90" s="1"/>
  <c r="J76" i="90"/>
  <c r="J99" i="90" s="1"/>
  <c r="I76" i="90"/>
  <c r="H76" i="90"/>
  <c r="H99" i="90" s="1"/>
  <c r="G76" i="90"/>
  <c r="G99" i="90" s="1"/>
  <c r="F76" i="90"/>
  <c r="F99" i="90" s="1"/>
  <c r="E76" i="90"/>
  <c r="D76" i="90"/>
  <c r="D99" i="90" s="1"/>
  <c r="C76" i="90"/>
  <c r="C99" i="90" s="1"/>
  <c r="B76" i="90"/>
  <c r="B99" i="90" s="1"/>
  <c r="R75" i="90"/>
  <c r="R74" i="90"/>
  <c r="R73" i="90"/>
  <c r="R72" i="90"/>
  <c r="R71" i="90"/>
  <c r="R70" i="90"/>
  <c r="R69" i="90"/>
  <c r="R68" i="90"/>
  <c r="D64" i="90"/>
  <c r="C63" i="90"/>
  <c r="D62" i="90"/>
  <c r="C62" i="90"/>
  <c r="R61" i="90"/>
  <c r="C61" i="90"/>
  <c r="D60" i="90"/>
  <c r="AA59" i="90"/>
  <c r="D59" i="90"/>
  <c r="AA58" i="90"/>
  <c r="C58" i="90"/>
  <c r="AA57" i="90"/>
  <c r="R57" i="90"/>
  <c r="D57" i="90"/>
  <c r="C57" i="90"/>
  <c r="AA56" i="90"/>
  <c r="R56" i="90"/>
  <c r="D56" i="90"/>
  <c r="C56" i="90"/>
  <c r="AA55" i="90"/>
  <c r="R55" i="90"/>
  <c r="D55" i="90"/>
  <c r="C55" i="90"/>
  <c r="AA54" i="90"/>
  <c r="R54" i="90"/>
  <c r="D54" i="90"/>
  <c r="C54" i="90"/>
  <c r="AA53" i="90"/>
  <c r="R53" i="90"/>
  <c r="D53" i="90"/>
  <c r="C53" i="90"/>
  <c r="AA52" i="90"/>
  <c r="R52" i="90"/>
  <c r="D52" i="90"/>
  <c r="C52" i="90"/>
  <c r="AA51" i="90"/>
  <c r="R51" i="90"/>
  <c r="D51" i="90"/>
  <c r="C51" i="90"/>
  <c r="AA50" i="90"/>
  <c r="R50" i="90"/>
  <c r="D50" i="90"/>
  <c r="C50" i="90"/>
  <c r="AA49" i="90"/>
  <c r="R49" i="90"/>
  <c r="D49" i="90"/>
  <c r="C49" i="90"/>
  <c r="H106" i="90"/>
  <c r="M105" i="90"/>
  <c r="R38" i="90"/>
  <c r="N99" i="90"/>
  <c r="N35" i="90"/>
  <c r="N98" i="90" s="1"/>
  <c r="R34" i="90"/>
  <c r="R97" i="90" s="1"/>
  <c r="N34" i="90"/>
  <c r="N97" i="90" s="1"/>
  <c r="N33" i="90"/>
  <c r="N96" i="90" s="1"/>
  <c r="R32" i="90"/>
  <c r="R95" i="90" s="1"/>
  <c r="N32" i="90"/>
  <c r="N95" i="90" s="1"/>
  <c r="R31" i="90"/>
  <c r="R94" i="90" s="1"/>
  <c r="R30" i="90"/>
  <c r="R93" i="90" s="1"/>
  <c r="R29" i="90"/>
  <c r="R92" i="90" s="1"/>
  <c r="R28" i="90"/>
  <c r="R91" i="90" s="1"/>
  <c r="R39" i="90" l="1"/>
  <c r="D102" i="90"/>
  <c r="L102" i="90"/>
  <c r="R33" i="90"/>
  <c r="R96" i="90" s="1"/>
  <c r="R35" i="90"/>
  <c r="R98" i="90" s="1"/>
  <c r="D65" i="90"/>
  <c r="E99" i="90"/>
  <c r="I99" i="90"/>
  <c r="M99" i="90"/>
  <c r="Q99" i="90"/>
  <c r="E103" i="90"/>
  <c r="I103" i="90"/>
  <c r="M103" i="90"/>
  <c r="Q103" i="90"/>
  <c r="C105" i="90"/>
  <c r="H102" i="90"/>
  <c r="B100" i="90"/>
  <c r="F100" i="90"/>
  <c r="J100" i="90"/>
  <c r="N100" i="90"/>
  <c r="B101" i="90"/>
  <c r="F101" i="90"/>
  <c r="J101" i="90"/>
  <c r="N101" i="90"/>
  <c r="L119" i="90"/>
  <c r="N103" i="90"/>
  <c r="N61" i="96"/>
  <c r="M63" i="96"/>
  <c r="N55" i="96"/>
  <c r="M57" i="96"/>
  <c r="N72" i="96"/>
  <c r="M74" i="96"/>
  <c r="N78" i="96"/>
  <c r="M84" i="96"/>
  <c r="M14" i="96"/>
  <c r="M124" i="96" s="1"/>
  <c r="M125" i="96" s="1"/>
  <c r="L20" i="96"/>
  <c r="N33" i="96"/>
  <c r="O32" i="96"/>
  <c r="O116" i="96"/>
  <c r="N120" i="96"/>
  <c r="N93" i="96"/>
  <c r="M94" i="96"/>
  <c r="N88" i="96"/>
  <c r="M89" i="96"/>
  <c r="N99" i="96"/>
  <c r="M100" i="96"/>
  <c r="N104" i="96"/>
  <c r="M105" i="96"/>
  <c r="O26" i="96"/>
  <c r="N27" i="96"/>
  <c r="R37" i="90"/>
  <c r="R64" i="90"/>
  <c r="C100" i="90"/>
  <c r="E100" i="90"/>
  <c r="G100" i="90"/>
  <c r="I100" i="90"/>
  <c r="K100" i="90"/>
  <c r="M100" i="90"/>
  <c r="O100" i="90"/>
  <c r="Q100" i="90"/>
  <c r="C102" i="90"/>
  <c r="E102" i="90"/>
  <c r="G102" i="90"/>
  <c r="I102" i="90"/>
  <c r="K102" i="90"/>
  <c r="M102" i="90"/>
  <c r="O102" i="90"/>
  <c r="Q102" i="90"/>
  <c r="N39" i="96"/>
  <c r="M51" i="96"/>
  <c r="O67" i="96"/>
  <c r="N68" i="96"/>
  <c r="N109" i="96"/>
  <c r="M111" i="96"/>
  <c r="AA84" i="96"/>
  <c r="O8" i="96"/>
  <c r="N10" i="96"/>
  <c r="C86" i="90"/>
  <c r="E86" i="90"/>
  <c r="G86" i="90"/>
  <c r="I86" i="90"/>
  <c r="K86" i="90"/>
  <c r="M86" i="90"/>
  <c r="O86" i="90"/>
  <c r="Q86" i="90"/>
  <c r="I106" i="90"/>
  <c r="B87" i="90"/>
  <c r="D87" i="90"/>
  <c r="F87" i="90"/>
  <c r="H87" i="90"/>
  <c r="J87" i="90"/>
  <c r="L87" i="90"/>
  <c r="N87" i="90"/>
  <c r="P87" i="90"/>
  <c r="P100" i="90"/>
  <c r="P102" i="90"/>
  <c r="P104" i="90"/>
  <c r="R36" i="90"/>
  <c r="R76" i="90"/>
  <c r="R78" i="90"/>
  <c r="R101" i="90" s="1"/>
  <c r="R80" i="90"/>
  <c r="R103" i="90" s="1"/>
  <c r="R82" i="90"/>
  <c r="R84" i="90"/>
  <c r="C85" i="90"/>
  <c r="E85" i="90"/>
  <c r="G85" i="90"/>
  <c r="I85" i="90"/>
  <c r="K85" i="90"/>
  <c r="M85" i="90"/>
  <c r="O85" i="90"/>
  <c r="Q85" i="90"/>
  <c r="B86" i="90"/>
  <c r="D86" i="90"/>
  <c r="F86" i="90"/>
  <c r="H86" i="90"/>
  <c r="J86" i="90"/>
  <c r="L86" i="90"/>
  <c r="N86" i="90"/>
  <c r="P86" i="90"/>
  <c r="C87" i="90"/>
  <c r="E87" i="90"/>
  <c r="G87" i="90"/>
  <c r="I87" i="90"/>
  <c r="K87" i="90"/>
  <c r="M87" i="90"/>
  <c r="O87" i="90"/>
  <c r="Q87" i="90"/>
  <c r="L121" i="90"/>
  <c r="R42" i="90"/>
  <c r="R77" i="90"/>
  <c r="R100" i="90" s="1"/>
  <c r="R79" i="90"/>
  <c r="R102" i="90" s="1"/>
  <c r="R81" i="90"/>
  <c r="B85" i="90"/>
  <c r="D85" i="90"/>
  <c r="F85" i="90"/>
  <c r="H85" i="90"/>
  <c r="J85" i="90"/>
  <c r="L85" i="90"/>
  <c r="N85" i="90"/>
  <c r="P85" i="90"/>
  <c r="N14" i="96" l="1"/>
  <c r="N124" i="96" s="1"/>
  <c r="N125" i="96" s="1"/>
  <c r="M20" i="96"/>
  <c r="O78" i="96"/>
  <c r="N84" i="96"/>
  <c r="O72" i="96"/>
  <c r="N74" i="96"/>
  <c r="O55" i="96"/>
  <c r="N57" i="96"/>
  <c r="O61" i="96"/>
  <c r="N63" i="96"/>
  <c r="O33" i="96"/>
  <c r="P32" i="96"/>
  <c r="P116" i="96"/>
  <c r="O120" i="96"/>
  <c r="O104" i="96"/>
  <c r="N105" i="96"/>
  <c r="O99" i="96"/>
  <c r="N100" i="96"/>
  <c r="O88" i="96"/>
  <c r="N89" i="96"/>
  <c r="O93" i="96"/>
  <c r="N94" i="96"/>
  <c r="P26" i="96"/>
  <c r="O27" i="96"/>
  <c r="O39" i="96"/>
  <c r="N51" i="96"/>
  <c r="P67" i="96"/>
  <c r="O68" i="96"/>
  <c r="O109" i="96"/>
  <c r="N111" i="96"/>
  <c r="P8" i="96"/>
  <c r="O10" i="96"/>
  <c r="R105" i="90"/>
  <c r="R99" i="90"/>
  <c r="R87" i="90"/>
  <c r="R85" i="90"/>
  <c r="R86" i="90"/>
  <c r="P61" i="96" l="1"/>
  <c r="O63" i="96"/>
  <c r="P55" i="96"/>
  <c r="O57" i="96"/>
  <c r="P72" i="96"/>
  <c r="O74" i="96"/>
  <c r="P78" i="96"/>
  <c r="O84" i="96"/>
  <c r="O14" i="96"/>
  <c r="N20" i="96"/>
  <c r="O124" i="96"/>
  <c r="O125" i="96" s="1"/>
  <c r="P33" i="96"/>
  <c r="Q32" i="96"/>
  <c r="Q116" i="96"/>
  <c r="P120" i="96"/>
  <c r="P93" i="96"/>
  <c r="O94" i="96"/>
  <c r="P88" i="96"/>
  <c r="O89" i="96"/>
  <c r="P99" i="96"/>
  <c r="O100" i="96"/>
  <c r="P104" i="96"/>
  <c r="O105" i="96"/>
  <c r="Q26" i="96"/>
  <c r="P27" i="96"/>
  <c r="P39" i="96"/>
  <c r="O51" i="96"/>
  <c r="Q67" i="96"/>
  <c r="P68" i="96"/>
  <c r="P109" i="96"/>
  <c r="O111" i="96"/>
  <c r="Q8" i="96"/>
  <c r="P10" i="96"/>
  <c r="F139" i="84"/>
  <c r="G90" i="79"/>
  <c r="K94" i="84"/>
  <c r="I94" i="84"/>
  <c r="F133" i="84"/>
  <c r="E133" i="84"/>
  <c r="F122" i="84"/>
  <c r="E122" i="84"/>
  <c r="F110" i="84"/>
  <c r="E110" i="84"/>
  <c r="F98" i="79"/>
  <c r="G40" i="79"/>
  <c r="G55" i="79"/>
  <c r="G51" i="79"/>
  <c r="G48" i="79"/>
  <c r="G44" i="79"/>
  <c r="G39" i="79"/>
  <c r="G31" i="79"/>
  <c r="G30" i="79"/>
  <c r="G16" i="79"/>
  <c r="G15" i="79"/>
  <c r="G97" i="84"/>
  <c r="G94" i="84"/>
  <c r="P14" i="96" l="1"/>
  <c r="O20" i="96"/>
  <c r="Q78" i="96"/>
  <c r="P84" i="96"/>
  <c r="Q72" i="96"/>
  <c r="P74" i="96"/>
  <c r="Q55" i="96"/>
  <c r="P57" i="96"/>
  <c r="Q61" i="96"/>
  <c r="P63" i="96"/>
  <c r="Q33" i="96"/>
  <c r="R32" i="96"/>
  <c r="R116" i="96"/>
  <c r="Q120" i="96"/>
  <c r="Q104" i="96"/>
  <c r="P105" i="96"/>
  <c r="Q99" i="96"/>
  <c r="P100" i="96"/>
  <c r="Q88" i="96"/>
  <c r="P89" i="96"/>
  <c r="Q93" i="96"/>
  <c r="P94" i="96"/>
  <c r="R26" i="96"/>
  <c r="Q27" i="96"/>
  <c r="P124" i="96"/>
  <c r="P125" i="96" s="1"/>
  <c r="Q39" i="96"/>
  <c r="P51" i="96"/>
  <c r="R67" i="96"/>
  <c r="Q68" i="96"/>
  <c r="Q109" i="96"/>
  <c r="P111" i="96"/>
  <c r="R8" i="96"/>
  <c r="Q10" i="96"/>
  <c r="A3" i="88"/>
  <c r="E10" i="81"/>
  <c r="E5" i="81"/>
  <c r="B21" i="87"/>
  <c r="C20" i="87"/>
  <c r="C19" i="87"/>
  <c r="C17" i="87"/>
  <c r="C15" i="87"/>
  <c r="C14" i="87"/>
  <c r="C13" i="87"/>
  <c r="C12" i="87"/>
  <c r="C11" i="87"/>
  <c r="C10" i="87"/>
  <c r="C9" i="87"/>
  <c r="C8" i="87"/>
  <c r="C7" i="87"/>
  <c r="C6" i="87"/>
  <c r="C21" i="87" s="1"/>
  <c r="F20" i="87"/>
  <c r="D2" i="87"/>
  <c r="E1" i="87"/>
  <c r="E2" i="87" s="1"/>
  <c r="E16" i="87" s="1"/>
  <c r="D18" i="87" l="1"/>
  <c r="D16" i="87"/>
  <c r="E18" i="87"/>
  <c r="E7" i="87"/>
  <c r="E14" i="87"/>
  <c r="E19" i="87"/>
  <c r="E9" i="87"/>
  <c r="E12" i="87"/>
  <c r="R61" i="96"/>
  <c r="Q63" i="96"/>
  <c r="R55" i="96"/>
  <c r="Q57" i="96"/>
  <c r="R72" i="96"/>
  <c r="Q74" i="96"/>
  <c r="R78" i="96"/>
  <c r="Q84" i="96"/>
  <c r="Q14" i="96"/>
  <c r="P20" i="96"/>
  <c r="R33" i="96"/>
  <c r="S32" i="96"/>
  <c r="S116" i="96"/>
  <c r="R120" i="96"/>
  <c r="R93" i="96"/>
  <c r="Q94" i="96"/>
  <c r="R88" i="96"/>
  <c r="Q89" i="96"/>
  <c r="R99" i="96"/>
  <c r="Q100" i="96"/>
  <c r="R104" i="96"/>
  <c r="Q105" i="96"/>
  <c r="S26" i="96"/>
  <c r="R27" i="96"/>
  <c r="Q124" i="96"/>
  <c r="Q125" i="96" s="1"/>
  <c r="E6" i="87"/>
  <c r="E8" i="87"/>
  <c r="E10" i="87"/>
  <c r="E11" i="87"/>
  <c r="E13" i="87"/>
  <c r="E15" i="87"/>
  <c r="E17" i="87"/>
  <c r="E20" i="87"/>
  <c r="R39" i="96"/>
  <c r="Q51" i="96"/>
  <c r="S67" i="96"/>
  <c r="R68" i="96"/>
  <c r="R109" i="96"/>
  <c r="Q111" i="96"/>
  <c r="S8" i="96"/>
  <c r="R10" i="96"/>
  <c r="D20" i="87"/>
  <c r="H51" i="79" s="1"/>
  <c r="I51" i="79" s="1"/>
  <c r="K122" i="84" s="1"/>
  <c r="D5" i="87"/>
  <c r="H39" i="79" s="1"/>
  <c r="I39" i="79" s="1"/>
  <c r="E15" i="81"/>
  <c r="F5" i="87"/>
  <c r="F6" i="87"/>
  <c r="D7" i="87"/>
  <c r="D8" i="87"/>
  <c r="D9" i="87"/>
  <c r="F9" i="87"/>
  <c r="F10" i="87"/>
  <c r="D11" i="87"/>
  <c r="D12" i="87"/>
  <c r="D13" i="87"/>
  <c r="F14" i="87"/>
  <c r="E5" i="87"/>
  <c r="D6" i="87"/>
  <c r="H44" i="79" s="1"/>
  <c r="F7" i="87"/>
  <c r="F8" i="87"/>
  <c r="D10" i="87"/>
  <c r="F18" i="87"/>
  <c r="F11" i="87"/>
  <c r="F12" i="87"/>
  <c r="F13" i="87"/>
  <c r="D14" i="87"/>
  <c r="H55" i="79" s="1"/>
  <c r="I55" i="79" s="1"/>
  <c r="D15" i="87"/>
  <c r="F15" i="87"/>
  <c r="F16" i="87"/>
  <c r="D17" i="87"/>
  <c r="F17" i="87"/>
  <c r="D19" i="87"/>
  <c r="H48" i="79" s="1"/>
  <c r="I48" i="79" s="1"/>
  <c r="F19" i="87"/>
  <c r="I44" i="79" l="1"/>
  <c r="K87" i="84" s="1"/>
  <c r="I87" i="84"/>
  <c r="H30" i="79"/>
  <c r="I122" i="84"/>
  <c r="R14" i="96"/>
  <c r="R124" i="96" s="1"/>
  <c r="R125" i="96" s="1"/>
  <c r="Q20" i="96"/>
  <c r="S78" i="96"/>
  <c r="R84" i="96"/>
  <c r="S72" i="96"/>
  <c r="R74" i="96"/>
  <c r="S55" i="96"/>
  <c r="R57" i="96"/>
  <c r="S61" i="96"/>
  <c r="R63" i="96"/>
  <c r="S33" i="96"/>
  <c r="T32" i="96"/>
  <c r="T116" i="96"/>
  <c r="S120" i="96"/>
  <c r="S104" i="96"/>
  <c r="R105" i="96"/>
  <c r="S99" i="96"/>
  <c r="R100" i="96"/>
  <c r="S88" i="96"/>
  <c r="R89" i="96"/>
  <c r="S93" i="96"/>
  <c r="R94" i="96"/>
  <c r="T26" i="96"/>
  <c r="S27" i="96"/>
  <c r="E21" i="87"/>
  <c r="S39" i="96"/>
  <c r="R51" i="96"/>
  <c r="T67" i="96"/>
  <c r="S68" i="96"/>
  <c r="S109" i="96"/>
  <c r="R111" i="96"/>
  <c r="T8" i="96"/>
  <c r="S10" i="96"/>
  <c r="I30" i="79"/>
  <c r="H15" i="79"/>
  <c r="I15" i="79" s="1"/>
  <c r="K133" i="84"/>
  <c r="I133" i="84"/>
  <c r="D21" i="87"/>
  <c r="F21" i="87"/>
  <c r="T61" i="96" l="1"/>
  <c r="S63" i="96"/>
  <c r="T55" i="96"/>
  <c r="S57" i="96"/>
  <c r="T72" i="96"/>
  <c r="S74" i="96"/>
  <c r="T78" i="96"/>
  <c r="S84" i="96"/>
  <c r="S14" i="96"/>
  <c r="R20" i="96"/>
  <c r="T33" i="96"/>
  <c r="U32" i="96"/>
  <c r="U116" i="96"/>
  <c r="T120" i="96"/>
  <c r="T93" i="96"/>
  <c r="S94" i="96"/>
  <c r="T88" i="96"/>
  <c r="S89" i="96"/>
  <c r="T99" i="96"/>
  <c r="S100" i="96"/>
  <c r="T104" i="96"/>
  <c r="S105" i="96"/>
  <c r="U26" i="96"/>
  <c r="T27" i="96"/>
  <c r="S124" i="96"/>
  <c r="S125" i="96" s="1"/>
  <c r="T39" i="96"/>
  <c r="S51" i="96"/>
  <c r="U67" i="96"/>
  <c r="T68" i="96"/>
  <c r="T109" i="96"/>
  <c r="S111" i="96"/>
  <c r="U8" i="96"/>
  <c r="T10" i="96"/>
  <c r="T14" i="96" l="1"/>
  <c r="T124" i="96" s="1"/>
  <c r="T125" i="96" s="1"/>
  <c r="S20" i="96"/>
  <c r="U78" i="96"/>
  <c r="T84" i="96"/>
  <c r="U72" i="96"/>
  <c r="T74" i="96"/>
  <c r="U55" i="96"/>
  <c r="T57" i="96"/>
  <c r="U61" i="96"/>
  <c r="T63" i="96"/>
  <c r="U33" i="96"/>
  <c r="V32" i="96"/>
  <c r="V116" i="96"/>
  <c r="U120" i="96"/>
  <c r="U104" i="96"/>
  <c r="T105" i="96"/>
  <c r="U99" i="96"/>
  <c r="T100" i="96"/>
  <c r="U88" i="96"/>
  <c r="T89" i="96"/>
  <c r="U93" i="96"/>
  <c r="T94" i="96"/>
  <c r="V26" i="96"/>
  <c r="U27" i="96"/>
  <c r="U39" i="96"/>
  <c r="T51" i="96"/>
  <c r="V67" i="96"/>
  <c r="U68" i="96"/>
  <c r="U109" i="96"/>
  <c r="T111" i="96"/>
  <c r="V8" i="96"/>
  <c r="U10" i="96"/>
  <c r="V61" i="96" l="1"/>
  <c r="U63" i="96"/>
  <c r="V55" i="96"/>
  <c r="U57" i="96"/>
  <c r="V72" i="96"/>
  <c r="U74" i="96"/>
  <c r="V78" i="96"/>
  <c r="U84" i="96"/>
  <c r="U14" i="96"/>
  <c r="T20" i="96"/>
  <c r="V33" i="96"/>
  <c r="W32" i="96"/>
  <c r="W116" i="96"/>
  <c r="V120" i="96"/>
  <c r="V93" i="96"/>
  <c r="U94" i="96"/>
  <c r="V88" i="96"/>
  <c r="U89" i="96"/>
  <c r="V99" i="96"/>
  <c r="U100" i="96"/>
  <c r="V104" i="96"/>
  <c r="U105" i="96"/>
  <c r="W26" i="96"/>
  <c r="V27" i="96"/>
  <c r="U124" i="96"/>
  <c r="U125" i="96" s="1"/>
  <c r="V39" i="96"/>
  <c r="U51" i="96"/>
  <c r="W67" i="96"/>
  <c r="V68" i="96"/>
  <c r="V109" i="96"/>
  <c r="U111" i="96"/>
  <c r="W8" i="96"/>
  <c r="V10" i="96"/>
  <c r="F75" i="84"/>
  <c r="E75" i="84"/>
  <c r="B14" i="88" s="1"/>
  <c r="C15" i="72"/>
  <c r="F147" i="84"/>
  <c r="E147" i="84"/>
  <c r="K142" i="84"/>
  <c r="F89" i="79"/>
  <c r="G129" i="84"/>
  <c r="G118" i="84"/>
  <c r="G106" i="84"/>
  <c r="G83" i="84"/>
  <c r="G71" i="84"/>
  <c r="G66" i="84"/>
  <c r="G61" i="84"/>
  <c r="G56" i="84"/>
  <c r="G34" i="84"/>
  <c r="G29" i="84"/>
  <c r="G24" i="84"/>
  <c r="G19" i="84"/>
  <c r="G14" i="84"/>
  <c r="G9" i="84"/>
  <c r="D12" i="81"/>
  <c r="G44" i="84" s="1"/>
  <c r="D11" i="81"/>
  <c r="G39" i="84" s="1"/>
  <c r="G91" i="79"/>
  <c r="V14" i="96" l="1"/>
  <c r="V124" i="96" s="1"/>
  <c r="V125" i="96" s="1"/>
  <c r="U20" i="96"/>
  <c r="W78" i="96"/>
  <c r="V84" i="96"/>
  <c r="W72" i="96"/>
  <c r="V74" i="96"/>
  <c r="W55" i="96"/>
  <c r="V57" i="96"/>
  <c r="W61" i="96"/>
  <c r="V63" i="96"/>
  <c r="D22" i="81"/>
  <c r="W33" i="96"/>
  <c r="X32" i="96"/>
  <c r="X116" i="96"/>
  <c r="W120" i="96"/>
  <c r="W104" i="96"/>
  <c r="V105" i="96"/>
  <c r="W99" i="96"/>
  <c r="V100" i="96"/>
  <c r="W88" i="96"/>
  <c r="V89" i="96"/>
  <c r="W93" i="96"/>
  <c r="V94" i="96"/>
  <c r="X26" i="96"/>
  <c r="W27" i="96"/>
  <c r="W39" i="96"/>
  <c r="V51" i="96"/>
  <c r="X67" i="96"/>
  <c r="W68" i="96"/>
  <c r="W109" i="96"/>
  <c r="V111" i="96"/>
  <c r="X8" i="96"/>
  <c r="W10" i="96"/>
  <c r="I165" i="84"/>
  <c r="I164" i="84"/>
  <c r="I163" i="84"/>
  <c r="I162" i="84"/>
  <c r="I161" i="84"/>
  <c r="C21" i="88"/>
  <c r="N79" i="82"/>
  <c r="N80" i="82"/>
  <c r="N76" i="82"/>
  <c r="N77" i="82"/>
  <c r="N78" i="82"/>
  <c r="AH12" i="82"/>
  <c r="AH11" i="82"/>
  <c r="AG12" i="82"/>
  <c r="AG11" i="82"/>
  <c r="AF12" i="82"/>
  <c r="AF11" i="82"/>
  <c r="AE12" i="82"/>
  <c r="AE11" i="82"/>
  <c r="AD12" i="82"/>
  <c r="AD11" i="82"/>
  <c r="AC12" i="82"/>
  <c r="AC11" i="82"/>
  <c r="AB12" i="82"/>
  <c r="AB11" i="82"/>
  <c r="AA12" i="82"/>
  <c r="AA11" i="82"/>
  <c r="Z12" i="82"/>
  <c r="Z11" i="82"/>
  <c r="Y12" i="82"/>
  <c r="Y11" i="82"/>
  <c r="X12" i="82"/>
  <c r="X11" i="82"/>
  <c r="W12" i="82"/>
  <c r="W11" i="82"/>
  <c r="V12" i="82"/>
  <c r="V11" i="82"/>
  <c r="U12" i="82"/>
  <c r="U11" i="82"/>
  <c r="T12" i="82"/>
  <c r="T11" i="82"/>
  <c r="S12" i="82"/>
  <c r="S11" i="82"/>
  <c r="R12" i="82"/>
  <c r="R11" i="82"/>
  <c r="Q12" i="82"/>
  <c r="Q11" i="82"/>
  <c r="P12" i="82"/>
  <c r="P11" i="82"/>
  <c r="M43" i="90"/>
  <c r="M106" i="90" s="1"/>
  <c r="D80" i="81"/>
  <c r="N75" i="82"/>
  <c r="N42" i="82"/>
  <c r="N72" i="82"/>
  <c r="N73" i="82"/>
  <c r="N74" i="82"/>
  <c r="N40" i="82"/>
  <c r="N41" i="82"/>
  <c r="I44" i="84"/>
  <c r="P27" i="92" s="1"/>
  <c r="I39" i="84"/>
  <c r="I29" i="84"/>
  <c r="P18" i="92" s="1"/>
  <c r="I19" i="84"/>
  <c r="P12" i="92" s="1"/>
  <c r="I14" i="84"/>
  <c r="G17" i="79"/>
  <c r="T15" i="78"/>
  <c r="X13" i="78"/>
  <c r="V11" i="78"/>
  <c r="R15" i="78"/>
  <c r="X15" i="78" s="1"/>
  <c r="R13" i="78"/>
  <c r="R11" i="78"/>
  <c r="X11" i="78" s="1"/>
  <c r="R9" i="78"/>
  <c r="R16" i="78" s="1"/>
  <c r="X16" i="78" s="1"/>
  <c r="P15" i="78"/>
  <c r="V15" i="78" s="1"/>
  <c r="P13" i="78"/>
  <c r="V13" i="78" s="1"/>
  <c r="P11" i="78"/>
  <c r="P9" i="78"/>
  <c r="P16" i="78" s="1"/>
  <c r="P19" i="78" s="1"/>
  <c r="N15" i="78"/>
  <c r="N13" i="78"/>
  <c r="T13" i="78" s="1"/>
  <c r="N11" i="78"/>
  <c r="T11" i="78" s="1"/>
  <c r="N9" i="78"/>
  <c r="N16" i="78" s="1"/>
  <c r="N19" i="78" s="1"/>
  <c r="L15" i="78"/>
  <c r="L13" i="78"/>
  <c r="L11" i="78"/>
  <c r="L9" i="78"/>
  <c r="L16" i="78" s="1"/>
  <c r="L19" i="78" s="1"/>
  <c r="L21" i="78" s="1"/>
  <c r="J15" i="78"/>
  <c r="J13" i="78"/>
  <c r="J11" i="78"/>
  <c r="J9" i="78"/>
  <c r="J16" i="78" s="1"/>
  <c r="J19" i="78" s="1"/>
  <c r="H15" i="78"/>
  <c r="H13" i="78"/>
  <c r="H11" i="78"/>
  <c r="H9" i="78"/>
  <c r="H16" i="78" s="1"/>
  <c r="H19" i="78" s="1"/>
  <c r="F15" i="78"/>
  <c r="F13" i="78"/>
  <c r="F11" i="78"/>
  <c r="F9" i="78"/>
  <c r="F16" i="78" s="1"/>
  <c r="F19" i="78" s="1"/>
  <c r="D15" i="78"/>
  <c r="D13" i="78"/>
  <c r="D11" i="78"/>
  <c r="D9" i="78"/>
  <c r="D16" i="78" s="1"/>
  <c r="D19" i="78" s="1"/>
  <c r="B15" i="78"/>
  <c r="B13" i="78"/>
  <c r="B11" i="78"/>
  <c r="B9" i="78"/>
  <c r="B16" i="78" s="1"/>
  <c r="B19" i="78" s="1"/>
  <c r="R101" i="78"/>
  <c r="P101" i="78"/>
  <c r="P104" i="78" s="1"/>
  <c r="N101" i="78"/>
  <c r="N104" i="78" s="1"/>
  <c r="L101" i="78"/>
  <c r="L104" i="78" s="1"/>
  <c r="L106" i="78" s="1"/>
  <c r="J101" i="78"/>
  <c r="J104" i="78" s="1"/>
  <c r="H101" i="78"/>
  <c r="H104" i="78" s="1"/>
  <c r="F101" i="78"/>
  <c r="F104" i="78" s="1"/>
  <c r="D101" i="78"/>
  <c r="D104" i="78" s="1"/>
  <c r="B101" i="78"/>
  <c r="X100" i="78"/>
  <c r="V100" i="78"/>
  <c r="T100" i="78"/>
  <c r="X98" i="78"/>
  <c r="V98" i="78"/>
  <c r="T98" i="78"/>
  <c r="X96" i="78"/>
  <c r="V96" i="78"/>
  <c r="T96" i="78"/>
  <c r="X94" i="78"/>
  <c r="V94" i="78"/>
  <c r="T94" i="78"/>
  <c r="R84" i="78"/>
  <c r="P84" i="78"/>
  <c r="P87" i="78" s="1"/>
  <c r="R87" i="78" s="1"/>
  <c r="R88" i="78" s="1"/>
  <c r="N84" i="78"/>
  <c r="N87" i="78" s="1"/>
  <c r="L84" i="78"/>
  <c r="L87" i="78" s="1"/>
  <c r="L89" i="78" s="1"/>
  <c r="J84" i="78"/>
  <c r="J87" i="78" s="1"/>
  <c r="H84" i="78"/>
  <c r="H87" i="78" s="1"/>
  <c r="F84" i="78"/>
  <c r="F87" i="78" s="1"/>
  <c r="D84" i="78"/>
  <c r="D87" i="78" s="1"/>
  <c r="B84" i="78"/>
  <c r="B87" i="78" s="1"/>
  <c r="X83" i="78"/>
  <c r="V83" i="78"/>
  <c r="T83" i="78"/>
  <c r="X81" i="78"/>
  <c r="V81" i="78"/>
  <c r="T81" i="78"/>
  <c r="X79" i="78"/>
  <c r="V79" i="78"/>
  <c r="T79" i="78"/>
  <c r="X77" i="78"/>
  <c r="V77" i="78"/>
  <c r="T77" i="78"/>
  <c r="R50" i="78"/>
  <c r="X50" i="78" s="1"/>
  <c r="P50" i="78"/>
  <c r="P53" i="78" s="1"/>
  <c r="N50" i="78"/>
  <c r="L50" i="78"/>
  <c r="L53" i="78" s="1"/>
  <c r="L55" i="78" s="1"/>
  <c r="H31" i="79" s="1"/>
  <c r="I31" i="79" s="1"/>
  <c r="J50" i="78"/>
  <c r="J53" i="78" s="1"/>
  <c r="H50" i="78"/>
  <c r="H53" i="78" s="1"/>
  <c r="F50" i="78"/>
  <c r="F53" i="78" s="1"/>
  <c r="D50" i="78"/>
  <c r="D53" i="78" s="1"/>
  <c r="B50" i="78"/>
  <c r="B53" i="78" s="1"/>
  <c r="X49" i="78"/>
  <c r="V49" i="78"/>
  <c r="T49" i="78"/>
  <c r="X47" i="78"/>
  <c r="V47" i="78"/>
  <c r="T47" i="78"/>
  <c r="X45" i="78"/>
  <c r="V45" i="78"/>
  <c r="T45" i="78"/>
  <c r="X43" i="78"/>
  <c r="V43" i="78"/>
  <c r="T43" i="78"/>
  <c r="E44" i="84"/>
  <c r="F44" i="84" s="1"/>
  <c r="E39" i="84"/>
  <c r="F39" i="84" s="1"/>
  <c r="E34" i="84"/>
  <c r="F34" i="84" s="1"/>
  <c r="E29" i="84"/>
  <c r="F29" i="84" s="1"/>
  <c r="E24" i="84"/>
  <c r="F24" i="84" s="1"/>
  <c r="E19" i="84"/>
  <c r="F19" i="84" s="1"/>
  <c r="E14" i="84"/>
  <c r="F14" i="84" s="1"/>
  <c r="E9" i="84"/>
  <c r="F9" i="84" s="1"/>
  <c r="N41" i="84"/>
  <c r="M41" i="84"/>
  <c r="C14" i="88"/>
  <c r="J41" i="84"/>
  <c r="G46" i="84"/>
  <c r="G41" i="84"/>
  <c r="H41" i="84" s="1"/>
  <c r="G36" i="84"/>
  <c r="G31" i="84"/>
  <c r="G26" i="84"/>
  <c r="G21" i="84"/>
  <c r="G16" i="84"/>
  <c r="G11" i="84"/>
  <c r="E38" i="84"/>
  <c r="E33" i="84"/>
  <c r="E28" i="84"/>
  <c r="E23" i="84"/>
  <c r="E18" i="84"/>
  <c r="E13" i="84"/>
  <c r="E8" i="84"/>
  <c r="I142" i="84"/>
  <c r="J142" i="84" s="1"/>
  <c r="F142" i="84"/>
  <c r="F141" i="84"/>
  <c r="F140" i="84"/>
  <c r="G140" i="84" s="1"/>
  <c r="E142" i="84"/>
  <c r="E141" i="84"/>
  <c r="Q70" i="82"/>
  <c r="R70" i="82" s="1"/>
  <c r="S70" i="82" s="1"/>
  <c r="T70" i="82" s="1"/>
  <c r="U70" i="82" s="1"/>
  <c r="V70" i="82" s="1"/>
  <c r="W70" i="82" s="1"/>
  <c r="X70" i="82" s="1"/>
  <c r="Y70" i="82" s="1"/>
  <c r="Z70" i="82" s="1"/>
  <c r="AA70" i="82" s="1"/>
  <c r="AB70" i="82" s="1"/>
  <c r="AC70" i="82" s="1"/>
  <c r="AD70" i="82" s="1"/>
  <c r="AE70" i="82" s="1"/>
  <c r="AF70" i="82" s="1"/>
  <c r="AG70" i="82" s="1"/>
  <c r="AH70" i="82" s="1"/>
  <c r="AI70" i="82" s="1"/>
  <c r="AJ70" i="82" s="1"/>
  <c r="N69" i="82"/>
  <c r="N70" i="82"/>
  <c r="N71" i="82"/>
  <c r="N39" i="82"/>
  <c r="N37" i="82"/>
  <c r="N38" i="82"/>
  <c r="D41" i="81"/>
  <c r="E13" i="81"/>
  <c r="C43" i="90"/>
  <c r="E16" i="81"/>
  <c r="N36" i="82"/>
  <c r="N68" i="82"/>
  <c r="P34" i="82"/>
  <c r="P35" i="82"/>
  <c r="Q35" i="82" s="1"/>
  <c r="R35" i="82" s="1"/>
  <c r="S35" i="82" s="1"/>
  <c r="T35" i="82" s="1"/>
  <c r="U35" i="82" s="1"/>
  <c r="V35" i="82" s="1"/>
  <c r="W35" i="82" s="1"/>
  <c r="X35" i="82" s="1"/>
  <c r="Y35" i="82" s="1"/>
  <c r="Z35" i="82" s="1"/>
  <c r="AA35" i="82" s="1"/>
  <c r="AB35" i="82" s="1"/>
  <c r="AC35" i="82" s="1"/>
  <c r="AD35" i="82" s="1"/>
  <c r="AE35" i="82" s="1"/>
  <c r="AF35" i="82" s="1"/>
  <c r="AG35" i="82" s="1"/>
  <c r="AH35" i="82" s="1"/>
  <c r="AI35" i="82" s="1"/>
  <c r="N35" i="82"/>
  <c r="G33" i="79"/>
  <c r="B67" i="78"/>
  <c r="B70" i="78" s="1"/>
  <c r="R67" i="78"/>
  <c r="P67" i="78"/>
  <c r="P70" i="78" s="1"/>
  <c r="N67" i="78"/>
  <c r="L67" i="78"/>
  <c r="L70" i="78" s="1"/>
  <c r="L72" i="78" s="1"/>
  <c r="H16" i="79" s="1"/>
  <c r="I16" i="79" s="1"/>
  <c r="J67" i="78"/>
  <c r="J70" i="78" s="1"/>
  <c r="H67" i="78"/>
  <c r="H70" i="78" s="1"/>
  <c r="F67" i="78"/>
  <c r="F70" i="78" s="1"/>
  <c r="D67" i="78"/>
  <c r="D70" i="78" s="1"/>
  <c r="X66" i="78"/>
  <c r="V66" i="78"/>
  <c r="T66" i="78"/>
  <c r="X64" i="78"/>
  <c r="V64" i="78"/>
  <c r="T64" i="78"/>
  <c r="X62" i="78"/>
  <c r="V62" i="78"/>
  <c r="T62" i="78"/>
  <c r="X60" i="78"/>
  <c r="V60" i="78"/>
  <c r="T60" i="78"/>
  <c r="E71" i="84"/>
  <c r="F71" i="84" s="1"/>
  <c r="E66" i="84"/>
  <c r="F66" i="84" s="1"/>
  <c r="E61" i="84"/>
  <c r="F61" i="84" s="1"/>
  <c r="E56" i="84"/>
  <c r="F56" i="84" s="1"/>
  <c r="E70" i="84"/>
  <c r="G70" i="84" s="1"/>
  <c r="E65" i="84"/>
  <c r="E60" i="84"/>
  <c r="E55" i="84"/>
  <c r="G75" i="84"/>
  <c r="G73" i="84"/>
  <c r="G68" i="84"/>
  <c r="G63" i="84"/>
  <c r="G58" i="84"/>
  <c r="R33" i="78"/>
  <c r="X33" i="78" s="1"/>
  <c r="P33" i="78"/>
  <c r="P36" i="78" s="1"/>
  <c r="N33" i="78"/>
  <c r="N36" i="78" s="1"/>
  <c r="R36" i="78" s="1"/>
  <c r="R37" i="78" s="1"/>
  <c r="L33" i="78"/>
  <c r="L36" i="78" s="1"/>
  <c r="L38" i="78" s="1"/>
  <c r="H40" i="79" s="1"/>
  <c r="I40" i="79" s="1"/>
  <c r="J33" i="78"/>
  <c r="J36" i="78" s="1"/>
  <c r="H33" i="78"/>
  <c r="H36" i="78" s="1"/>
  <c r="F33" i="78"/>
  <c r="F36" i="78" s="1"/>
  <c r="D33" i="78"/>
  <c r="D36" i="78" s="1"/>
  <c r="B33" i="78"/>
  <c r="B36" i="78" s="1"/>
  <c r="X32" i="78"/>
  <c r="V32" i="78"/>
  <c r="T32" i="78"/>
  <c r="X30" i="78"/>
  <c r="V30" i="78"/>
  <c r="T30" i="78"/>
  <c r="X28" i="78"/>
  <c r="V28" i="78"/>
  <c r="T28" i="78"/>
  <c r="X26" i="78"/>
  <c r="V26" i="78"/>
  <c r="T26" i="78"/>
  <c r="AG19" i="82"/>
  <c r="AF19" i="82"/>
  <c r="AE19" i="82"/>
  <c r="AD19" i="82"/>
  <c r="AC19" i="82"/>
  <c r="AB19" i="82"/>
  <c r="AA19" i="82"/>
  <c r="Z19" i="82"/>
  <c r="Y19" i="82"/>
  <c r="X19" i="82"/>
  <c r="W19" i="82"/>
  <c r="V19" i="82"/>
  <c r="U19" i="82"/>
  <c r="T19" i="82"/>
  <c r="S19" i="82"/>
  <c r="R19" i="82"/>
  <c r="Q19" i="82"/>
  <c r="P19" i="82"/>
  <c r="N34" i="82"/>
  <c r="E43" i="90"/>
  <c r="E106" i="90" s="1"/>
  <c r="B43" i="90"/>
  <c r="B106" i="90" s="1"/>
  <c r="Q66" i="82"/>
  <c r="R66" i="82" s="1"/>
  <c r="S66" i="82" s="1"/>
  <c r="T66" i="82" s="1"/>
  <c r="U66" i="82" s="1"/>
  <c r="V66" i="82" s="1"/>
  <c r="W66" i="82" s="1"/>
  <c r="X66" i="82" s="1"/>
  <c r="Y66" i="82" s="1"/>
  <c r="Z66" i="82" s="1"/>
  <c r="AA66" i="82" s="1"/>
  <c r="AB66" i="82" s="1"/>
  <c r="AC66" i="82" s="1"/>
  <c r="AD66" i="82" s="1"/>
  <c r="AE66" i="82" s="1"/>
  <c r="AF66" i="82" s="1"/>
  <c r="AG66" i="82" s="1"/>
  <c r="AH66" i="82" s="1"/>
  <c r="AI66" i="82" s="1"/>
  <c r="AJ66" i="82" s="1"/>
  <c r="I106" i="84"/>
  <c r="P48" i="92" s="1"/>
  <c r="E106" i="84"/>
  <c r="F106" i="84" s="1"/>
  <c r="E105" i="84"/>
  <c r="G105" i="84" s="1"/>
  <c r="G108" i="84"/>
  <c r="AH20" i="82"/>
  <c r="AG20" i="82"/>
  <c r="AF20" i="82"/>
  <c r="AE20" i="82"/>
  <c r="AD20" i="82"/>
  <c r="AC20" i="82"/>
  <c r="AB20" i="82"/>
  <c r="AA20" i="82"/>
  <c r="Z20" i="82"/>
  <c r="Y20" i="82"/>
  <c r="X20" i="82"/>
  <c r="W20" i="82"/>
  <c r="V20" i="82"/>
  <c r="U20" i="82"/>
  <c r="T20" i="82"/>
  <c r="S20" i="82"/>
  <c r="R20" i="82"/>
  <c r="Q20" i="82"/>
  <c r="Q18" i="82"/>
  <c r="R18" i="82"/>
  <c r="S18" i="82"/>
  <c r="T18" i="82"/>
  <c r="U18" i="82"/>
  <c r="V18" i="82"/>
  <c r="W18" i="82"/>
  <c r="X18" i="82"/>
  <c r="Y18" i="82"/>
  <c r="Z18" i="82"/>
  <c r="AA18" i="82"/>
  <c r="AB18" i="82"/>
  <c r="AC18" i="82"/>
  <c r="AD18" i="82"/>
  <c r="AE18" i="82"/>
  <c r="AF18" i="82"/>
  <c r="AG18" i="82"/>
  <c r="AH18" i="82"/>
  <c r="AI18" i="82"/>
  <c r="AG17" i="82"/>
  <c r="AF17" i="82"/>
  <c r="AD17" i="82"/>
  <c r="AC17" i="82"/>
  <c r="AB17" i="82"/>
  <c r="AA17" i="82"/>
  <c r="Z17" i="82"/>
  <c r="Y17" i="82"/>
  <c r="X17" i="82"/>
  <c r="W17" i="82"/>
  <c r="V17" i="82"/>
  <c r="U17" i="82"/>
  <c r="T17" i="82"/>
  <c r="S17" i="82"/>
  <c r="R17" i="82"/>
  <c r="Q17" i="82"/>
  <c r="P17" i="82"/>
  <c r="N53" i="82"/>
  <c r="N54" i="82"/>
  <c r="N55" i="82"/>
  <c r="N56" i="82"/>
  <c r="N57" i="82"/>
  <c r="N58" i="82"/>
  <c r="N59" i="82"/>
  <c r="N60" i="82"/>
  <c r="N61" i="82"/>
  <c r="N62" i="82"/>
  <c r="N63" i="82"/>
  <c r="N64" i="82"/>
  <c r="N65" i="82"/>
  <c r="N66" i="82"/>
  <c r="N67" i="82"/>
  <c r="P31" i="82"/>
  <c r="Q31" i="82" s="1"/>
  <c r="R31" i="82" s="1"/>
  <c r="S31" i="82" s="1"/>
  <c r="T31" i="82" s="1"/>
  <c r="U31" i="82" s="1"/>
  <c r="V31" i="82" s="1"/>
  <c r="W31" i="82" s="1"/>
  <c r="X31" i="82" s="1"/>
  <c r="Y31" i="82" s="1"/>
  <c r="Z31" i="82" s="1"/>
  <c r="AA31" i="82" s="1"/>
  <c r="AB31" i="82" s="1"/>
  <c r="AC31" i="82" s="1"/>
  <c r="AD31" i="82" s="1"/>
  <c r="AE31" i="82" s="1"/>
  <c r="AF31" i="82" s="1"/>
  <c r="AG31" i="82" s="1"/>
  <c r="AH31" i="82" s="1"/>
  <c r="AI31" i="82" s="1"/>
  <c r="P32" i="82"/>
  <c r="Q32" i="82" s="1"/>
  <c r="R32" i="82" s="1"/>
  <c r="S32" i="82" s="1"/>
  <c r="T32" i="82" s="1"/>
  <c r="U32" i="82" s="1"/>
  <c r="V32" i="82" s="1"/>
  <c r="W32" i="82" s="1"/>
  <c r="X32" i="82" s="1"/>
  <c r="Y32" i="82" s="1"/>
  <c r="Z32" i="82" s="1"/>
  <c r="AA32" i="82" s="1"/>
  <c r="AB32" i="82" s="1"/>
  <c r="AC32" i="82" s="1"/>
  <c r="AD32" i="82" s="1"/>
  <c r="AE32" i="82" s="1"/>
  <c r="AF32" i="82" s="1"/>
  <c r="AG32" i="82" s="1"/>
  <c r="AH32" i="82" s="1"/>
  <c r="AI32" i="82" s="1"/>
  <c r="P33" i="82"/>
  <c r="Q33" i="82" s="1"/>
  <c r="R33" i="82" s="1"/>
  <c r="S33" i="82" s="1"/>
  <c r="T33" i="82" s="1"/>
  <c r="U33" i="82" s="1"/>
  <c r="V33" i="82" s="1"/>
  <c r="W33" i="82" s="1"/>
  <c r="X33" i="82" s="1"/>
  <c r="Y33" i="82" s="1"/>
  <c r="Z33" i="82" s="1"/>
  <c r="AA33" i="82" s="1"/>
  <c r="AB33" i="82" s="1"/>
  <c r="AC33" i="82" s="1"/>
  <c r="AD33" i="82" s="1"/>
  <c r="AE33" i="82" s="1"/>
  <c r="AF33" i="82" s="1"/>
  <c r="AG33" i="82" s="1"/>
  <c r="AH33" i="82" s="1"/>
  <c r="AI33" i="82" s="1"/>
  <c r="N33" i="82"/>
  <c r="N30" i="82"/>
  <c r="N31" i="82"/>
  <c r="N32" i="82"/>
  <c r="R19" i="78" l="1"/>
  <c r="R20" i="78" s="1"/>
  <c r="T9" i="78"/>
  <c r="Q23" i="82"/>
  <c r="M21" i="81" s="1"/>
  <c r="X67" i="78"/>
  <c r="R104" i="78"/>
  <c r="R105" i="78" s="1"/>
  <c r="V33" i="78"/>
  <c r="V50" i="78"/>
  <c r="N53" i="78"/>
  <c r="R53" i="78" s="1"/>
  <c r="R54" i="78" s="1"/>
  <c r="T101" i="78"/>
  <c r="B104" i="78"/>
  <c r="X9" i="78"/>
  <c r="T16" i="78"/>
  <c r="T33" i="78"/>
  <c r="V9" i="78"/>
  <c r="V16" i="78"/>
  <c r="V67" i="78"/>
  <c r="N70" i="78"/>
  <c r="R70" i="78" s="1"/>
  <c r="R71" i="78" s="1"/>
  <c r="X61" i="96"/>
  <c r="W63" i="96"/>
  <c r="X55" i="96"/>
  <c r="W57" i="96"/>
  <c r="X72" i="96"/>
  <c r="W74" i="96"/>
  <c r="X78" i="96"/>
  <c r="W84" i="96"/>
  <c r="W14" i="96"/>
  <c r="W124" i="96" s="1"/>
  <c r="W125" i="96" s="1"/>
  <c r="V20" i="96"/>
  <c r="H29" i="84"/>
  <c r="H44" i="84"/>
  <c r="X33" i="96"/>
  <c r="Y32" i="96"/>
  <c r="Y116" i="96"/>
  <c r="X120" i="96"/>
  <c r="X93" i="96"/>
  <c r="W94" i="96"/>
  <c r="X88" i="96"/>
  <c r="W89" i="96"/>
  <c r="X99" i="96"/>
  <c r="W100" i="96"/>
  <c r="X104" i="96"/>
  <c r="W105" i="96"/>
  <c r="Y26" i="96"/>
  <c r="X27" i="96"/>
  <c r="B18" i="88"/>
  <c r="X39" i="96"/>
  <c r="W51" i="96"/>
  <c r="Y67" i="96"/>
  <c r="X68" i="96"/>
  <c r="X109" i="96"/>
  <c r="W111" i="96"/>
  <c r="Y8" i="96"/>
  <c r="X10" i="96"/>
  <c r="Q64" i="82"/>
  <c r="R64" i="82" s="1"/>
  <c r="S64" i="82" s="1"/>
  <c r="T64" i="82" s="1"/>
  <c r="U64" i="82" s="1"/>
  <c r="V64" i="82" s="1"/>
  <c r="W64" i="82" s="1"/>
  <c r="X64" i="82" s="1"/>
  <c r="Y64" i="82" s="1"/>
  <c r="Z64" i="82" s="1"/>
  <c r="AA64" i="82" s="1"/>
  <c r="AB64" i="82" s="1"/>
  <c r="AC64" i="82" s="1"/>
  <c r="AD64" i="82" s="1"/>
  <c r="AE64" i="82" s="1"/>
  <c r="AF64" i="82" s="1"/>
  <c r="AG64" i="82" s="1"/>
  <c r="AH64" i="82" s="1"/>
  <c r="AI64" i="82" s="1"/>
  <c r="AJ64" i="82" s="1"/>
  <c r="H14" i="84"/>
  <c r="P9" i="92"/>
  <c r="F12" i="81"/>
  <c r="F11" i="81"/>
  <c r="H39" i="84"/>
  <c r="P24" i="92"/>
  <c r="Q74" i="82"/>
  <c r="R74" i="82" s="1"/>
  <c r="S74" i="82" s="1"/>
  <c r="T74" i="82" s="1"/>
  <c r="U74" i="82" s="1"/>
  <c r="V74" i="82" s="1"/>
  <c r="W74" i="82" s="1"/>
  <c r="X74" i="82" s="1"/>
  <c r="Y74" i="82" s="1"/>
  <c r="Z74" i="82" s="1"/>
  <c r="AA74" i="82" s="1"/>
  <c r="AB74" i="82" s="1"/>
  <c r="AC74" i="82" s="1"/>
  <c r="AD74" i="82" s="1"/>
  <c r="AE74" i="82" s="1"/>
  <c r="AF74" i="82" s="1"/>
  <c r="AG74" i="82" s="1"/>
  <c r="AH74" i="82" s="1"/>
  <c r="AI74" i="82" s="1"/>
  <c r="AJ74" i="82" s="1"/>
  <c r="F7" i="81"/>
  <c r="F9" i="81"/>
  <c r="E14" i="81"/>
  <c r="O43" i="90" s="1"/>
  <c r="O106" i="90" s="1"/>
  <c r="D43" i="90"/>
  <c r="D106" i="90" s="1"/>
  <c r="Q72" i="82"/>
  <c r="R72" i="82" s="1"/>
  <c r="S72" i="82" s="1"/>
  <c r="T72" i="82" s="1"/>
  <c r="U72" i="82" s="1"/>
  <c r="V72" i="82" s="1"/>
  <c r="W72" i="82" s="1"/>
  <c r="X72" i="82" s="1"/>
  <c r="Y72" i="82" s="1"/>
  <c r="Z72" i="82" s="1"/>
  <c r="AA72" i="82" s="1"/>
  <c r="AB72" i="82" s="1"/>
  <c r="AC72" i="82" s="1"/>
  <c r="AD72" i="82" s="1"/>
  <c r="AE72" i="82" s="1"/>
  <c r="AF72" i="82" s="1"/>
  <c r="AG72" i="82" s="1"/>
  <c r="AH72" i="82" s="1"/>
  <c r="AI72" i="82" s="1"/>
  <c r="AJ72" i="82" s="1"/>
  <c r="I56" i="84"/>
  <c r="P30" i="92" s="1"/>
  <c r="N43" i="90"/>
  <c r="N106" i="90" s="1"/>
  <c r="P37" i="82"/>
  <c r="Q37" i="82" s="1"/>
  <c r="R37" i="82" s="1"/>
  <c r="S37" i="82" s="1"/>
  <c r="T37" i="82" s="1"/>
  <c r="U37" i="82" s="1"/>
  <c r="V37" i="82" s="1"/>
  <c r="W37" i="82" s="1"/>
  <c r="X37" i="82" s="1"/>
  <c r="Y37" i="82" s="1"/>
  <c r="Z37" i="82" s="1"/>
  <c r="AA37" i="82" s="1"/>
  <c r="AB37" i="82" s="1"/>
  <c r="AC37" i="82" s="1"/>
  <c r="AD37" i="82" s="1"/>
  <c r="AE37" i="82" s="1"/>
  <c r="AF37" i="82" s="1"/>
  <c r="AG37" i="82" s="1"/>
  <c r="AH37" i="82" s="1"/>
  <c r="AI37" i="82" s="1"/>
  <c r="G43" i="90"/>
  <c r="G106" i="90" s="1"/>
  <c r="P30" i="82"/>
  <c r="Q30" i="82" s="1"/>
  <c r="R30" i="82" s="1"/>
  <c r="S30" i="82" s="1"/>
  <c r="T30" i="82" s="1"/>
  <c r="U30" i="82" s="1"/>
  <c r="V30" i="82" s="1"/>
  <c r="W30" i="82" s="1"/>
  <c r="X30" i="82" s="1"/>
  <c r="Y30" i="82" s="1"/>
  <c r="Z30" i="82" s="1"/>
  <c r="AA30" i="82" s="1"/>
  <c r="AB30" i="82" s="1"/>
  <c r="AC30" i="82" s="1"/>
  <c r="AD30" i="82" s="1"/>
  <c r="AE30" i="82" s="1"/>
  <c r="AF30" i="82" s="1"/>
  <c r="AG30" i="82" s="1"/>
  <c r="AH30" i="82" s="1"/>
  <c r="AI30" i="82" s="1"/>
  <c r="C106" i="90"/>
  <c r="H19" i="84"/>
  <c r="C18" i="88"/>
  <c r="B21" i="88"/>
  <c r="F43" i="90"/>
  <c r="F106" i="90" s="1"/>
  <c r="G142" i="84"/>
  <c r="H142" i="84" s="1"/>
  <c r="Q41" i="84"/>
  <c r="P41" i="84"/>
  <c r="G141" i="84"/>
  <c r="H140" i="84"/>
  <c r="P36" i="82"/>
  <c r="Q36" i="82" s="1"/>
  <c r="R36" i="82" s="1"/>
  <c r="S36" i="82" s="1"/>
  <c r="T36" i="82" s="1"/>
  <c r="U36" i="82" s="1"/>
  <c r="V36" i="82" s="1"/>
  <c r="W36" i="82" s="1"/>
  <c r="X36" i="82" s="1"/>
  <c r="Y36" i="82" s="1"/>
  <c r="Z36" i="82" s="1"/>
  <c r="AA36" i="82" s="1"/>
  <c r="AB36" i="82" s="1"/>
  <c r="AC36" i="82" s="1"/>
  <c r="AD36" i="82" s="1"/>
  <c r="AE36" i="82" s="1"/>
  <c r="AF36" i="82" s="1"/>
  <c r="AG36" i="82" s="1"/>
  <c r="AH36" i="82" s="1"/>
  <c r="AI36" i="82" s="1"/>
  <c r="H56" i="84"/>
  <c r="J140" i="84"/>
  <c r="V101" i="78"/>
  <c r="X84" i="78"/>
  <c r="V84" i="78"/>
  <c r="T84" i="78"/>
  <c r="X101" i="78"/>
  <c r="T50" i="78"/>
  <c r="T67" i="78"/>
  <c r="H106" i="84"/>
  <c r="X14" i="96" l="1"/>
  <c r="W20" i="96"/>
  <c r="Y78" i="96"/>
  <c r="Y84" i="96" s="1"/>
  <c r="X84" i="96"/>
  <c r="Y72" i="96"/>
  <c r="X74" i="96"/>
  <c r="Y55" i="96"/>
  <c r="X57" i="96"/>
  <c r="Y61" i="96"/>
  <c r="X63" i="96"/>
  <c r="Y33" i="96"/>
  <c r="Z32" i="96"/>
  <c r="Z33" i="96" s="1"/>
  <c r="Z116" i="96"/>
  <c r="Y120" i="96"/>
  <c r="Y104" i="96"/>
  <c r="X105" i="96"/>
  <c r="Y99" i="96"/>
  <c r="X100" i="96"/>
  <c r="Y88" i="96"/>
  <c r="Y89" i="96" s="1"/>
  <c r="X89" i="96"/>
  <c r="Y93" i="96"/>
  <c r="X94" i="96"/>
  <c r="Z26" i="96"/>
  <c r="Z27" i="96" s="1"/>
  <c r="Y27" i="96"/>
  <c r="X124" i="96"/>
  <c r="X125" i="96" s="1"/>
  <c r="Y39" i="96"/>
  <c r="Y51" i="96" s="1"/>
  <c r="X51" i="96"/>
  <c r="Z67" i="96"/>
  <c r="Y68" i="96"/>
  <c r="Y109" i="96"/>
  <c r="X111" i="96"/>
  <c r="Z8" i="96"/>
  <c r="Y10" i="96"/>
  <c r="P66" i="92"/>
  <c r="I61" i="84"/>
  <c r="I44" i="90"/>
  <c r="K19" i="84"/>
  <c r="H44" i="90"/>
  <c r="K14" i="84"/>
  <c r="J14" i="84" s="1"/>
  <c r="K44" i="90"/>
  <c r="K29" i="84"/>
  <c r="I71" i="84"/>
  <c r="Q43" i="90"/>
  <c r="Q106" i="90" s="1"/>
  <c r="F13" i="81"/>
  <c r="F16" i="81"/>
  <c r="P39" i="82"/>
  <c r="Q39" i="82" s="1"/>
  <c r="R39" i="82" s="1"/>
  <c r="S39" i="82" s="1"/>
  <c r="T39" i="82" s="1"/>
  <c r="U39" i="82" s="1"/>
  <c r="V39" i="82" s="1"/>
  <c r="W39" i="82" s="1"/>
  <c r="X39" i="82" s="1"/>
  <c r="Y39" i="82" s="1"/>
  <c r="Z39" i="82" s="1"/>
  <c r="AA39" i="82" s="1"/>
  <c r="AB39" i="82" s="1"/>
  <c r="AC39" i="82" s="1"/>
  <c r="AD39" i="82" s="1"/>
  <c r="AE39" i="82" s="1"/>
  <c r="AF39" i="82" s="1"/>
  <c r="AG39" i="82" s="1"/>
  <c r="AH39" i="82" s="1"/>
  <c r="AI39" i="82" s="1"/>
  <c r="F5" i="81"/>
  <c r="F8" i="81"/>
  <c r="J44" i="90" s="1"/>
  <c r="J46" i="90" s="1"/>
  <c r="L43" i="90"/>
  <c r="L106" i="90" s="1"/>
  <c r="F10" i="81"/>
  <c r="L44" i="90" s="1"/>
  <c r="L46" i="90" s="1"/>
  <c r="M94" i="84"/>
  <c r="N94" i="84"/>
  <c r="P94" i="84"/>
  <c r="Q94" i="84"/>
  <c r="I129" i="84"/>
  <c r="P51" i="92" s="1"/>
  <c r="E129" i="84"/>
  <c r="F129" i="84" s="1"/>
  <c r="E128" i="84"/>
  <c r="G128" i="84" s="1"/>
  <c r="G131" i="84"/>
  <c r="G117" i="84"/>
  <c r="G50" i="79"/>
  <c r="G122" i="84" s="1"/>
  <c r="P28" i="82"/>
  <c r="N50" i="82"/>
  <c r="N51" i="82"/>
  <c r="N52" i="82"/>
  <c r="I118" i="84"/>
  <c r="P54" i="92" s="1"/>
  <c r="Q80" i="82"/>
  <c r="R80" i="82" s="1"/>
  <c r="S80" i="82" s="1"/>
  <c r="T80" i="82" s="1"/>
  <c r="U80" i="82" s="1"/>
  <c r="V80" i="82" s="1"/>
  <c r="W80" i="82" s="1"/>
  <c r="X80" i="82" s="1"/>
  <c r="Y80" i="82" s="1"/>
  <c r="Z80" i="82" s="1"/>
  <c r="AA80" i="82" s="1"/>
  <c r="AB80" i="82" s="1"/>
  <c r="AC80" i="82" s="1"/>
  <c r="AD80" i="82" s="1"/>
  <c r="AE80" i="82" s="1"/>
  <c r="AF80" i="82" s="1"/>
  <c r="AG80" i="82" s="1"/>
  <c r="AH80" i="82" s="1"/>
  <c r="AI80" i="82" s="1"/>
  <c r="AJ80" i="82" s="1"/>
  <c r="Q56" i="82"/>
  <c r="R56" i="82" s="1"/>
  <c r="S56" i="82" s="1"/>
  <c r="T56" i="82" s="1"/>
  <c r="U56" i="82" s="1"/>
  <c r="V56" i="82" s="1"/>
  <c r="W56" i="82" s="1"/>
  <c r="X56" i="82" s="1"/>
  <c r="Y56" i="82" s="1"/>
  <c r="Z56" i="82" s="1"/>
  <c r="AA56" i="82" s="1"/>
  <c r="AB56" i="82" s="1"/>
  <c r="AC56" i="82" s="1"/>
  <c r="AD56" i="82" s="1"/>
  <c r="AE56" i="82" s="1"/>
  <c r="AF56" i="82" s="1"/>
  <c r="AG56" i="82" s="1"/>
  <c r="AH56" i="82" s="1"/>
  <c r="AI56" i="82" s="1"/>
  <c r="AJ56" i="82" s="1"/>
  <c r="Q76" i="82"/>
  <c r="R76" i="82" s="1"/>
  <c r="S76" i="82" s="1"/>
  <c r="T76" i="82" s="1"/>
  <c r="U76" i="82" s="1"/>
  <c r="V76" i="82" s="1"/>
  <c r="W76" i="82" s="1"/>
  <c r="X76" i="82" s="1"/>
  <c r="Y76" i="82" s="1"/>
  <c r="Z76" i="82" s="1"/>
  <c r="AA76" i="82" s="1"/>
  <c r="AB76" i="82" s="1"/>
  <c r="AC76" i="82" s="1"/>
  <c r="AD76" i="82" s="1"/>
  <c r="AE76" i="82" s="1"/>
  <c r="AF76" i="82" s="1"/>
  <c r="AG76" i="82" s="1"/>
  <c r="AH76" i="82" s="1"/>
  <c r="AI76" i="82" s="1"/>
  <c r="AJ76" i="82" s="1"/>
  <c r="G120" i="84"/>
  <c r="E118" i="84"/>
  <c r="F118" i="84" s="1"/>
  <c r="E116" i="84"/>
  <c r="J122" i="84"/>
  <c r="E32" i="86"/>
  <c r="J32" i="86" s="1"/>
  <c r="D32" i="86"/>
  <c r="E30" i="86"/>
  <c r="J30" i="86" s="1"/>
  <c r="D30" i="86"/>
  <c r="E27" i="86"/>
  <c r="J27" i="86" s="1"/>
  <c r="D27" i="86"/>
  <c r="E26" i="86"/>
  <c r="J26" i="86" s="1"/>
  <c r="D26" i="86"/>
  <c r="E25" i="86"/>
  <c r="J25" i="86" s="1"/>
  <c r="D25" i="86"/>
  <c r="E24" i="86"/>
  <c r="J24" i="86" s="1"/>
  <c r="D28" i="86"/>
  <c r="E20" i="86"/>
  <c r="J20" i="86" s="1"/>
  <c r="D20" i="86"/>
  <c r="E19" i="86"/>
  <c r="J19" i="86" s="1"/>
  <c r="D19" i="86"/>
  <c r="E18" i="86"/>
  <c r="J18" i="86" s="1"/>
  <c r="D18" i="86"/>
  <c r="E17" i="86"/>
  <c r="J17" i="86" s="1"/>
  <c r="D17" i="86"/>
  <c r="E16" i="86"/>
  <c r="J16" i="86" s="1"/>
  <c r="D16" i="86"/>
  <c r="E15" i="86"/>
  <c r="J15" i="86" s="1"/>
  <c r="D15" i="86"/>
  <c r="E11" i="86"/>
  <c r="J11" i="86" s="1"/>
  <c r="D11" i="86"/>
  <c r="E9" i="86"/>
  <c r="J9" i="86" s="1"/>
  <c r="D9" i="86"/>
  <c r="E7" i="86"/>
  <c r="Z61" i="96" l="1"/>
  <c r="Y63" i="96"/>
  <c r="Z55" i="96"/>
  <c r="Y57" i="96"/>
  <c r="Z72" i="96"/>
  <c r="Y74" i="96"/>
  <c r="Y14" i="96"/>
  <c r="Y20" i="96" s="1"/>
  <c r="X20" i="96"/>
  <c r="AA116" i="96"/>
  <c r="AA120" i="96" s="1"/>
  <c r="Z120" i="96"/>
  <c r="Z93" i="96"/>
  <c r="Z94" i="96" s="1"/>
  <c r="Y94" i="96"/>
  <c r="Z99" i="96"/>
  <c r="Z100" i="96" s="1"/>
  <c r="Y100" i="96"/>
  <c r="Z104" i="96"/>
  <c r="Z105" i="96" s="1"/>
  <c r="Y105" i="96"/>
  <c r="AA68" i="96"/>
  <c r="Z68" i="96"/>
  <c r="Z10" i="96"/>
  <c r="Z109" i="96"/>
  <c r="Y111" i="96"/>
  <c r="E21" i="86"/>
  <c r="J21" i="86" s="1"/>
  <c r="F11" i="86"/>
  <c r="H11" i="86" s="1"/>
  <c r="K131" i="84" s="1"/>
  <c r="F25" i="86"/>
  <c r="H25" i="86" s="1"/>
  <c r="K73" i="84" s="1"/>
  <c r="F20" i="81"/>
  <c r="F15" i="81"/>
  <c r="F14" i="81"/>
  <c r="F15" i="86"/>
  <c r="H15" i="86" s="1"/>
  <c r="K16" i="84" s="1"/>
  <c r="F16" i="86"/>
  <c r="H16" i="86" s="1"/>
  <c r="K21" i="84" s="1"/>
  <c r="F18" i="86"/>
  <c r="H18" i="86" s="1"/>
  <c r="K26" i="84" s="1"/>
  <c r="F19" i="86"/>
  <c r="H19" i="86" s="1"/>
  <c r="K31" i="84" s="1"/>
  <c r="F20" i="86"/>
  <c r="H20" i="86" s="1"/>
  <c r="K36" i="84" s="1"/>
  <c r="F9" i="86"/>
  <c r="H9" i="86" s="1"/>
  <c r="K85" i="84" s="1"/>
  <c r="F17" i="86"/>
  <c r="H17" i="86" s="1"/>
  <c r="K46" i="84" s="1"/>
  <c r="F26" i="86"/>
  <c r="H26" i="86" s="1"/>
  <c r="K68" i="84" s="1"/>
  <c r="F30" i="86"/>
  <c r="H30" i="86" s="1"/>
  <c r="K97" i="84" s="1"/>
  <c r="F32" i="86"/>
  <c r="H32" i="86" s="1"/>
  <c r="K120" i="84" s="1"/>
  <c r="I27" i="86"/>
  <c r="K27" i="86" s="1"/>
  <c r="F27" i="86"/>
  <c r="H27" i="86" s="1"/>
  <c r="K58" i="84" s="1"/>
  <c r="G15" i="86"/>
  <c r="I16" i="84" s="1"/>
  <c r="D7" i="86"/>
  <c r="F7" i="86" s="1"/>
  <c r="J29" i="84"/>
  <c r="Q18" i="92"/>
  <c r="Q9" i="92"/>
  <c r="J19" i="84"/>
  <c r="Q12" i="92"/>
  <c r="L45" i="90"/>
  <c r="L47" i="90"/>
  <c r="H71" i="84"/>
  <c r="P39" i="92"/>
  <c r="L107" i="90"/>
  <c r="L110" i="90" s="1"/>
  <c r="H61" i="84"/>
  <c r="P36" i="92"/>
  <c r="Q78" i="82"/>
  <c r="R78" i="82" s="1"/>
  <c r="S78" i="82" s="1"/>
  <c r="T78" i="82" s="1"/>
  <c r="U78" i="82" s="1"/>
  <c r="V78" i="82" s="1"/>
  <c r="W78" i="82" s="1"/>
  <c r="X78" i="82" s="1"/>
  <c r="Y78" i="82" s="1"/>
  <c r="Z78" i="82" s="1"/>
  <c r="AA78" i="82" s="1"/>
  <c r="AB78" i="82" s="1"/>
  <c r="AC78" i="82" s="1"/>
  <c r="AD78" i="82" s="1"/>
  <c r="AE78" i="82" s="1"/>
  <c r="AF78" i="82" s="1"/>
  <c r="AG78" i="82" s="1"/>
  <c r="AH78" i="82" s="1"/>
  <c r="AI78" i="82" s="1"/>
  <c r="AJ78" i="82" s="1"/>
  <c r="J107" i="90"/>
  <c r="J110" i="90" s="1"/>
  <c r="J45" i="90"/>
  <c r="J47" i="90"/>
  <c r="K107" i="90"/>
  <c r="K46" i="90"/>
  <c r="K45" i="90"/>
  <c r="K47" i="90"/>
  <c r="H46" i="90"/>
  <c r="H47" i="90"/>
  <c r="H107" i="90"/>
  <c r="H45" i="90"/>
  <c r="I107" i="90"/>
  <c r="I45" i="90"/>
  <c r="I47" i="90"/>
  <c r="I46" i="90"/>
  <c r="Q57" i="82"/>
  <c r="R57" i="82" s="1"/>
  <c r="S57" i="82" s="1"/>
  <c r="T57" i="82" s="1"/>
  <c r="U57" i="82" s="1"/>
  <c r="V57" i="82" s="1"/>
  <c r="W57" i="82" s="1"/>
  <c r="X57" i="82" s="1"/>
  <c r="Y57" i="82" s="1"/>
  <c r="Z57" i="82" s="1"/>
  <c r="AA57" i="82" s="1"/>
  <c r="AB57" i="82" s="1"/>
  <c r="AC57" i="82" s="1"/>
  <c r="AD57" i="82" s="1"/>
  <c r="AE57" i="82" s="1"/>
  <c r="AF57" i="82" s="1"/>
  <c r="AG57" i="82" s="1"/>
  <c r="AH57" i="82" s="1"/>
  <c r="AI57" i="82" s="1"/>
  <c r="AJ57" i="82" s="1"/>
  <c r="Q51" i="82"/>
  <c r="R51" i="82" s="1"/>
  <c r="S51" i="82" s="1"/>
  <c r="T51" i="82" s="1"/>
  <c r="U51" i="82" s="1"/>
  <c r="V51" i="82" s="1"/>
  <c r="W51" i="82" s="1"/>
  <c r="X51" i="82" s="1"/>
  <c r="Y51" i="82" s="1"/>
  <c r="Z51" i="82" s="1"/>
  <c r="AA51" i="82" s="1"/>
  <c r="AB51" i="82" s="1"/>
  <c r="AC51" i="82" s="1"/>
  <c r="AD51" i="82" s="1"/>
  <c r="AE51" i="82" s="1"/>
  <c r="AF51" i="82" s="1"/>
  <c r="AG51" i="82" s="1"/>
  <c r="AH51" i="82" s="1"/>
  <c r="AI51" i="82" s="1"/>
  <c r="AJ51" i="82" s="1"/>
  <c r="Q61" i="82"/>
  <c r="R61" i="82" s="1"/>
  <c r="S61" i="82" s="1"/>
  <c r="T61" i="82" s="1"/>
  <c r="U61" i="82" s="1"/>
  <c r="V61" i="82" s="1"/>
  <c r="W61" i="82" s="1"/>
  <c r="X61" i="82" s="1"/>
  <c r="Y61" i="82" s="1"/>
  <c r="Z61" i="82" s="1"/>
  <c r="AA61" i="82" s="1"/>
  <c r="AB61" i="82" s="1"/>
  <c r="AC61" i="82" s="1"/>
  <c r="AD61" i="82" s="1"/>
  <c r="AE61" i="82" s="1"/>
  <c r="AF61" i="82" s="1"/>
  <c r="AG61" i="82" s="1"/>
  <c r="AH61" i="82" s="1"/>
  <c r="AI61" i="82" s="1"/>
  <c r="AJ61" i="82" s="1"/>
  <c r="Q77" i="82"/>
  <c r="R77" i="82" s="1"/>
  <c r="S77" i="82" s="1"/>
  <c r="T77" i="82" s="1"/>
  <c r="U77" i="82" s="1"/>
  <c r="V77" i="82" s="1"/>
  <c r="W77" i="82" s="1"/>
  <c r="X77" i="82" s="1"/>
  <c r="Y77" i="82" s="1"/>
  <c r="Z77" i="82" s="1"/>
  <c r="AA77" i="82" s="1"/>
  <c r="AB77" i="82" s="1"/>
  <c r="AC77" i="82" s="1"/>
  <c r="AD77" i="82" s="1"/>
  <c r="AE77" i="82" s="1"/>
  <c r="AF77" i="82" s="1"/>
  <c r="AG77" i="82" s="1"/>
  <c r="AH77" i="82" s="1"/>
  <c r="AI77" i="82" s="1"/>
  <c r="AJ77" i="82" s="1"/>
  <c r="K39" i="84"/>
  <c r="Q59" i="82"/>
  <c r="R59" i="82" s="1"/>
  <c r="S59" i="82" s="1"/>
  <c r="T59" i="82" s="1"/>
  <c r="U59" i="82" s="1"/>
  <c r="V59" i="82" s="1"/>
  <c r="W59" i="82" s="1"/>
  <c r="X59" i="82" s="1"/>
  <c r="Y59" i="82" s="1"/>
  <c r="Z59" i="82" s="1"/>
  <c r="AA59" i="82" s="1"/>
  <c r="AB59" i="82" s="1"/>
  <c r="AC59" i="82" s="1"/>
  <c r="AD59" i="82" s="1"/>
  <c r="AE59" i="82" s="1"/>
  <c r="AF59" i="82" s="1"/>
  <c r="AG59" i="82" s="1"/>
  <c r="AH59" i="82" s="1"/>
  <c r="AI59" i="82" s="1"/>
  <c r="AJ59" i="82" s="1"/>
  <c r="Q73" i="82"/>
  <c r="R73" i="82" s="1"/>
  <c r="S73" i="82" s="1"/>
  <c r="T73" i="82" s="1"/>
  <c r="U73" i="82" s="1"/>
  <c r="V73" i="82" s="1"/>
  <c r="W73" i="82" s="1"/>
  <c r="X73" i="82" s="1"/>
  <c r="Y73" i="82" s="1"/>
  <c r="Z73" i="82" s="1"/>
  <c r="AA73" i="82" s="1"/>
  <c r="AB73" i="82" s="1"/>
  <c r="AC73" i="82" s="1"/>
  <c r="AD73" i="82" s="1"/>
  <c r="AE73" i="82" s="1"/>
  <c r="AF73" i="82" s="1"/>
  <c r="AG73" i="82" s="1"/>
  <c r="AH73" i="82" s="1"/>
  <c r="AI73" i="82" s="1"/>
  <c r="AJ73" i="82" s="1"/>
  <c r="Q55" i="82"/>
  <c r="R55" i="82" s="1"/>
  <c r="S55" i="82" s="1"/>
  <c r="T55" i="82" s="1"/>
  <c r="U55" i="82" s="1"/>
  <c r="V55" i="82" s="1"/>
  <c r="W55" i="82" s="1"/>
  <c r="X55" i="82" s="1"/>
  <c r="Y55" i="82" s="1"/>
  <c r="Z55" i="82" s="1"/>
  <c r="AA55" i="82" s="1"/>
  <c r="AB55" i="82" s="1"/>
  <c r="AC55" i="82" s="1"/>
  <c r="AD55" i="82" s="1"/>
  <c r="AE55" i="82" s="1"/>
  <c r="AF55" i="82" s="1"/>
  <c r="AG55" i="82" s="1"/>
  <c r="AH55" i="82" s="1"/>
  <c r="AI55" i="82" s="1"/>
  <c r="AJ55" i="82" s="1"/>
  <c r="Q65" i="82"/>
  <c r="R65" i="82" s="1"/>
  <c r="S65" i="82" s="1"/>
  <c r="T65" i="82" s="1"/>
  <c r="U65" i="82" s="1"/>
  <c r="V65" i="82" s="1"/>
  <c r="W65" i="82" s="1"/>
  <c r="X65" i="82" s="1"/>
  <c r="Y65" i="82" s="1"/>
  <c r="Z65" i="82" s="1"/>
  <c r="AA65" i="82" s="1"/>
  <c r="AB65" i="82" s="1"/>
  <c r="AC65" i="82" s="1"/>
  <c r="AD65" i="82" s="1"/>
  <c r="AE65" i="82" s="1"/>
  <c r="AF65" i="82" s="1"/>
  <c r="AG65" i="82" s="1"/>
  <c r="AH65" i="82" s="1"/>
  <c r="AI65" i="82" s="1"/>
  <c r="AJ65" i="82" s="1"/>
  <c r="Q62" i="82"/>
  <c r="R62" i="82" s="1"/>
  <c r="S62" i="82" s="1"/>
  <c r="T62" i="82" s="1"/>
  <c r="U62" i="82" s="1"/>
  <c r="V62" i="82" s="1"/>
  <c r="W62" i="82" s="1"/>
  <c r="X62" i="82" s="1"/>
  <c r="Y62" i="82" s="1"/>
  <c r="Z62" i="82" s="1"/>
  <c r="AA62" i="82" s="1"/>
  <c r="AB62" i="82" s="1"/>
  <c r="AC62" i="82" s="1"/>
  <c r="AD62" i="82" s="1"/>
  <c r="AE62" i="82" s="1"/>
  <c r="AF62" i="82" s="1"/>
  <c r="AG62" i="82" s="1"/>
  <c r="AH62" i="82" s="1"/>
  <c r="AI62" i="82" s="1"/>
  <c r="AJ62" i="82" s="1"/>
  <c r="Q79" i="82"/>
  <c r="R79" i="82" s="1"/>
  <c r="S79" i="82" s="1"/>
  <c r="T79" i="82" s="1"/>
  <c r="U79" i="82" s="1"/>
  <c r="V79" i="82" s="1"/>
  <c r="W79" i="82" s="1"/>
  <c r="X79" i="82" s="1"/>
  <c r="Y79" i="82" s="1"/>
  <c r="Z79" i="82" s="1"/>
  <c r="AA79" i="82" s="1"/>
  <c r="AB79" i="82" s="1"/>
  <c r="AC79" i="82" s="1"/>
  <c r="AD79" i="82" s="1"/>
  <c r="AE79" i="82" s="1"/>
  <c r="AF79" i="82" s="1"/>
  <c r="AG79" i="82" s="1"/>
  <c r="AH79" i="82" s="1"/>
  <c r="AI79" i="82" s="1"/>
  <c r="AJ79" i="82" s="1"/>
  <c r="Q60" i="82"/>
  <c r="R60" i="82" s="1"/>
  <c r="S60" i="82" s="1"/>
  <c r="T60" i="82" s="1"/>
  <c r="U60" i="82" s="1"/>
  <c r="V60" i="82" s="1"/>
  <c r="W60" i="82" s="1"/>
  <c r="X60" i="82" s="1"/>
  <c r="Y60" i="82" s="1"/>
  <c r="Z60" i="82" s="1"/>
  <c r="AA60" i="82" s="1"/>
  <c r="AB60" i="82" s="1"/>
  <c r="AC60" i="82" s="1"/>
  <c r="AD60" i="82" s="1"/>
  <c r="AE60" i="82" s="1"/>
  <c r="AF60" i="82" s="1"/>
  <c r="AG60" i="82" s="1"/>
  <c r="AH60" i="82" s="1"/>
  <c r="AI60" i="82" s="1"/>
  <c r="AJ60" i="82" s="1"/>
  <c r="Q75" i="82"/>
  <c r="R75" i="82" s="1"/>
  <c r="S75" i="82" s="1"/>
  <c r="T75" i="82" s="1"/>
  <c r="U75" i="82" s="1"/>
  <c r="V75" i="82" s="1"/>
  <c r="W75" i="82" s="1"/>
  <c r="X75" i="82" s="1"/>
  <c r="Y75" i="82" s="1"/>
  <c r="Z75" i="82" s="1"/>
  <c r="AA75" i="82" s="1"/>
  <c r="AB75" i="82" s="1"/>
  <c r="AC75" i="82" s="1"/>
  <c r="AD75" i="82" s="1"/>
  <c r="AE75" i="82" s="1"/>
  <c r="AF75" i="82" s="1"/>
  <c r="AG75" i="82" s="1"/>
  <c r="AH75" i="82" s="1"/>
  <c r="AI75" i="82" s="1"/>
  <c r="AJ75" i="82" s="1"/>
  <c r="Q58" i="82"/>
  <c r="R58" i="82" s="1"/>
  <c r="S58" i="82" s="1"/>
  <c r="T58" i="82" s="1"/>
  <c r="U58" i="82" s="1"/>
  <c r="V58" i="82" s="1"/>
  <c r="W58" i="82" s="1"/>
  <c r="X58" i="82" s="1"/>
  <c r="Y58" i="82" s="1"/>
  <c r="Z58" i="82" s="1"/>
  <c r="AA58" i="82" s="1"/>
  <c r="AB58" i="82" s="1"/>
  <c r="AC58" i="82" s="1"/>
  <c r="AD58" i="82" s="1"/>
  <c r="AE58" i="82" s="1"/>
  <c r="AF58" i="82" s="1"/>
  <c r="AG58" i="82" s="1"/>
  <c r="AH58" i="82" s="1"/>
  <c r="AI58" i="82" s="1"/>
  <c r="AJ58" i="82" s="1"/>
  <c r="Q71" i="82"/>
  <c r="R71" i="82" s="1"/>
  <c r="S71" i="82" s="1"/>
  <c r="T71" i="82" s="1"/>
  <c r="U71" i="82" s="1"/>
  <c r="V71" i="82" s="1"/>
  <c r="W71" i="82" s="1"/>
  <c r="X71" i="82" s="1"/>
  <c r="Y71" i="82" s="1"/>
  <c r="Z71" i="82" s="1"/>
  <c r="AA71" i="82" s="1"/>
  <c r="AB71" i="82" s="1"/>
  <c r="AC71" i="82" s="1"/>
  <c r="AD71" i="82" s="1"/>
  <c r="AE71" i="82" s="1"/>
  <c r="AF71" i="82" s="1"/>
  <c r="AG71" i="82" s="1"/>
  <c r="AH71" i="82" s="1"/>
  <c r="AI71" i="82" s="1"/>
  <c r="AJ71" i="82" s="1"/>
  <c r="Q54" i="82"/>
  <c r="R54" i="82" s="1"/>
  <c r="S54" i="82" s="1"/>
  <c r="T54" i="82" s="1"/>
  <c r="U54" i="82" s="1"/>
  <c r="V54" i="82" s="1"/>
  <c r="W54" i="82" s="1"/>
  <c r="X54" i="82" s="1"/>
  <c r="Y54" i="82" s="1"/>
  <c r="Z54" i="82" s="1"/>
  <c r="AA54" i="82" s="1"/>
  <c r="AB54" i="82" s="1"/>
  <c r="AC54" i="82" s="1"/>
  <c r="AD54" i="82" s="1"/>
  <c r="AE54" i="82" s="1"/>
  <c r="AF54" i="82" s="1"/>
  <c r="AG54" i="82" s="1"/>
  <c r="AH54" i="82" s="1"/>
  <c r="AI54" i="82" s="1"/>
  <c r="AJ54" i="82" s="1"/>
  <c r="Q63" i="82"/>
  <c r="R63" i="82" s="1"/>
  <c r="S63" i="82" s="1"/>
  <c r="T63" i="82" s="1"/>
  <c r="U63" i="82" s="1"/>
  <c r="V63" i="82" s="1"/>
  <c r="W63" i="82" s="1"/>
  <c r="X63" i="82" s="1"/>
  <c r="Y63" i="82" s="1"/>
  <c r="Z63" i="82" s="1"/>
  <c r="AA63" i="82" s="1"/>
  <c r="AB63" i="82" s="1"/>
  <c r="AC63" i="82" s="1"/>
  <c r="AD63" i="82" s="1"/>
  <c r="AE63" i="82" s="1"/>
  <c r="AF63" i="82" s="1"/>
  <c r="AG63" i="82" s="1"/>
  <c r="AH63" i="82" s="1"/>
  <c r="AI63" i="82" s="1"/>
  <c r="AJ63" i="82" s="1"/>
  <c r="Q50" i="82"/>
  <c r="K34" i="84"/>
  <c r="Q21" i="92" s="1"/>
  <c r="K24" i="84"/>
  <c r="Q15" i="92" s="1"/>
  <c r="Q34" i="82"/>
  <c r="R34" i="82" s="1"/>
  <c r="S34" i="82" s="1"/>
  <c r="T34" i="82" s="1"/>
  <c r="U34" i="82" s="1"/>
  <c r="V34" i="82" s="1"/>
  <c r="W34" i="82" s="1"/>
  <c r="X34" i="82" s="1"/>
  <c r="Y34" i="82" s="1"/>
  <c r="Z34" i="82" s="1"/>
  <c r="AA34" i="82" s="1"/>
  <c r="AB34" i="82" s="1"/>
  <c r="AC34" i="82" s="1"/>
  <c r="AD34" i="82" s="1"/>
  <c r="AE34" i="82" s="1"/>
  <c r="AF34" i="82" s="1"/>
  <c r="AG34" i="82" s="1"/>
  <c r="AH34" i="82" s="1"/>
  <c r="AI34" i="82" s="1"/>
  <c r="AJ34" i="82" s="1"/>
  <c r="H122" i="84"/>
  <c r="Q28" i="82"/>
  <c r="R28" i="82" s="1"/>
  <c r="S28" i="82" s="1"/>
  <c r="T28" i="82" s="1"/>
  <c r="U28" i="82" s="1"/>
  <c r="V28" i="82" s="1"/>
  <c r="W28" i="82" s="1"/>
  <c r="X28" i="82" s="1"/>
  <c r="Y28" i="82" s="1"/>
  <c r="Z28" i="82" s="1"/>
  <c r="AA28" i="82" s="1"/>
  <c r="AB28" i="82" s="1"/>
  <c r="AC28" i="82" s="1"/>
  <c r="AD28" i="82" s="1"/>
  <c r="AE28" i="82" s="1"/>
  <c r="AF28" i="82" s="1"/>
  <c r="AG28" i="82" s="1"/>
  <c r="AH28" i="82" s="1"/>
  <c r="AI28" i="82" s="1"/>
  <c r="G147" i="84"/>
  <c r="I34" i="84"/>
  <c r="P42" i="82"/>
  <c r="Q42" i="82" s="1"/>
  <c r="R42" i="82" s="1"/>
  <c r="S42" i="82" s="1"/>
  <c r="T42" i="82" s="1"/>
  <c r="U42" i="82" s="1"/>
  <c r="V42" i="82" s="1"/>
  <c r="W42" i="82" s="1"/>
  <c r="X42" i="82" s="1"/>
  <c r="Y42" i="82" s="1"/>
  <c r="Z42" i="82" s="1"/>
  <c r="AA42" i="82" s="1"/>
  <c r="AB42" i="82" s="1"/>
  <c r="AC42" i="82" s="1"/>
  <c r="AD42" i="82" s="1"/>
  <c r="AE42" i="82" s="1"/>
  <c r="AF42" i="82" s="1"/>
  <c r="AG42" i="82" s="1"/>
  <c r="AH42" i="82" s="1"/>
  <c r="AI42" i="82" s="1"/>
  <c r="P41" i="82"/>
  <c r="Q41" i="82" s="1"/>
  <c r="R41" i="82" s="1"/>
  <c r="S41" i="82" s="1"/>
  <c r="T41" i="82" s="1"/>
  <c r="U41" i="82" s="1"/>
  <c r="V41" i="82" s="1"/>
  <c r="W41" i="82" s="1"/>
  <c r="X41" i="82" s="1"/>
  <c r="Y41" i="82" s="1"/>
  <c r="Z41" i="82" s="1"/>
  <c r="AA41" i="82" s="1"/>
  <c r="AB41" i="82" s="1"/>
  <c r="AC41" i="82" s="1"/>
  <c r="AD41" i="82" s="1"/>
  <c r="AE41" i="82" s="1"/>
  <c r="AF41" i="82" s="1"/>
  <c r="AG41" i="82" s="1"/>
  <c r="AH41" i="82" s="1"/>
  <c r="AI41" i="82" s="1"/>
  <c r="I9" i="84"/>
  <c r="P40" i="82"/>
  <c r="Q40" i="82" s="1"/>
  <c r="R40" i="82" s="1"/>
  <c r="S40" i="82" s="1"/>
  <c r="T40" i="82" s="1"/>
  <c r="U40" i="82" s="1"/>
  <c r="V40" i="82" s="1"/>
  <c r="W40" i="82" s="1"/>
  <c r="X40" i="82" s="1"/>
  <c r="Y40" i="82" s="1"/>
  <c r="Z40" i="82" s="1"/>
  <c r="AA40" i="82" s="1"/>
  <c r="AB40" i="82" s="1"/>
  <c r="AC40" i="82" s="1"/>
  <c r="AD40" i="82" s="1"/>
  <c r="AE40" i="82" s="1"/>
  <c r="AF40" i="82" s="1"/>
  <c r="AG40" i="82" s="1"/>
  <c r="AH40" i="82" s="1"/>
  <c r="AI40" i="82" s="1"/>
  <c r="P38" i="82"/>
  <c r="Q38" i="82" s="1"/>
  <c r="R38" i="82" s="1"/>
  <c r="S38" i="82" s="1"/>
  <c r="T38" i="82" s="1"/>
  <c r="U38" i="82" s="1"/>
  <c r="V38" i="82" s="1"/>
  <c r="W38" i="82" s="1"/>
  <c r="X38" i="82" s="1"/>
  <c r="Y38" i="82" s="1"/>
  <c r="Z38" i="82" s="1"/>
  <c r="AA38" i="82" s="1"/>
  <c r="AB38" i="82" s="1"/>
  <c r="AC38" i="82" s="1"/>
  <c r="AD38" i="82" s="1"/>
  <c r="AE38" i="82" s="1"/>
  <c r="AF38" i="82" s="1"/>
  <c r="AG38" i="82" s="1"/>
  <c r="AH38" i="82" s="1"/>
  <c r="AI38" i="82" s="1"/>
  <c r="Q69" i="82"/>
  <c r="R69" i="82" s="1"/>
  <c r="S69" i="82" s="1"/>
  <c r="T69" i="82" s="1"/>
  <c r="U69" i="82" s="1"/>
  <c r="V69" i="82" s="1"/>
  <c r="W69" i="82" s="1"/>
  <c r="X69" i="82" s="1"/>
  <c r="Y69" i="82" s="1"/>
  <c r="Z69" i="82" s="1"/>
  <c r="AA69" i="82" s="1"/>
  <c r="AB69" i="82" s="1"/>
  <c r="AC69" i="82" s="1"/>
  <c r="AD69" i="82" s="1"/>
  <c r="AE69" i="82" s="1"/>
  <c r="AF69" i="82" s="1"/>
  <c r="AG69" i="82" s="1"/>
  <c r="AH69" i="82" s="1"/>
  <c r="AI69" i="82" s="1"/>
  <c r="AJ69" i="82" s="1"/>
  <c r="Q67" i="82"/>
  <c r="R67" i="82" s="1"/>
  <c r="S67" i="82" s="1"/>
  <c r="T67" i="82" s="1"/>
  <c r="U67" i="82" s="1"/>
  <c r="V67" i="82" s="1"/>
  <c r="W67" i="82" s="1"/>
  <c r="X67" i="82" s="1"/>
  <c r="Y67" i="82" s="1"/>
  <c r="Z67" i="82" s="1"/>
  <c r="AA67" i="82" s="1"/>
  <c r="AB67" i="82" s="1"/>
  <c r="AC67" i="82" s="1"/>
  <c r="AD67" i="82" s="1"/>
  <c r="AE67" i="82" s="1"/>
  <c r="AF67" i="82" s="1"/>
  <c r="AG67" i="82" s="1"/>
  <c r="AH67" i="82" s="1"/>
  <c r="AI67" i="82" s="1"/>
  <c r="AJ67" i="82" s="1"/>
  <c r="Q68" i="82"/>
  <c r="R68" i="82" s="1"/>
  <c r="S68" i="82" s="1"/>
  <c r="T68" i="82" s="1"/>
  <c r="U68" i="82" s="1"/>
  <c r="V68" i="82" s="1"/>
  <c r="W68" i="82" s="1"/>
  <c r="X68" i="82" s="1"/>
  <c r="Y68" i="82" s="1"/>
  <c r="Z68" i="82" s="1"/>
  <c r="AA68" i="82" s="1"/>
  <c r="AB68" i="82" s="1"/>
  <c r="AC68" i="82" s="1"/>
  <c r="AD68" i="82" s="1"/>
  <c r="AE68" i="82" s="1"/>
  <c r="AF68" i="82" s="1"/>
  <c r="AG68" i="82" s="1"/>
  <c r="AH68" i="82" s="1"/>
  <c r="AI68" i="82" s="1"/>
  <c r="AJ68" i="82" s="1"/>
  <c r="R50" i="82"/>
  <c r="J133" i="84"/>
  <c r="H129" i="84"/>
  <c r="H118" i="84"/>
  <c r="J7" i="86"/>
  <c r="I9" i="86"/>
  <c r="K9" i="86" s="1"/>
  <c r="I11" i="86"/>
  <c r="K11" i="86" s="1"/>
  <c r="I21" i="86"/>
  <c r="K21" i="86" s="1"/>
  <c r="I15" i="86"/>
  <c r="K15" i="86" s="1"/>
  <c r="I16" i="86"/>
  <c r="K16" i="86" s="1"/>
  <c r="I17" i="86"/>
  <c r="K17" i="86" s="1"/>
  <c r="I18" i="86"/>
  <c r="K18" i="86" s="1"/>
  <c r="I19" i="86"/>
  <c r="K19" i="86" s="1"/>
  <c r="I20" i="86"/>
  <c r="K20" i="86" s="1"/>
  <c r="I28" i="86"/>
  <c r="I25" i="86"/>
  <c r="K25" i="86" s="1"/>
  <c r="I26" i="86"/>
  <c r="K26" i="86" s="1"/>
  <c r="I30" i="86"/>
  <c r="K30" i="86" s="1"/>
  <c r="I32" i="86"/>
  <c r="K32" i="86" s="1"/>
  <c r="E14" i="86"/>
  <c r="J14" i="86" s="1"/>
  <c r="E28" i="86"/>
  <c r="J28" i="86" s="1"/>
  <c r="D14" i="86"/>
  <c r="D24" i="86"/>
  <c r="F24" i="86" s="1"/>
  <c r="H24" i="86" s="1"/>
  <c r="K63" i="84" s="1"/>
  <c r="Y124" i="96" l="1"/>
  <c r="Y125" i="96" s="1"/>
  <c r="AA72" i="96"/>
  <c r="AA74" i="96" s="1"/>
  <c r="Z74" i="96"/>
  <c r="AA55" i="96"/>
  <c r="AA57" i="96" s="1"/>
  <c r="Z57" i="96"/>
  <c r="AA61" i="96"/>
  <c r="AA63" i="96" s="1"/>
  <c r="Z63" i="96"/>
  <c r="F14" i="86"/>
  <c r="H14" i="86" s="1"/>
  <c r="K11" i="84" s="1"/>
  <c r="Z124" i="96"/>
  <c r="Z125" i="96" s="1"/>
  <c r="F21" i="86"/>
  <c r="AA109" i="96"/>
  <c r="Z111" i="96"/>
  <c r="G11" i="86"/>
  <c r="I131" i="84" s="1"/>
  <c r="G19" i="86"/>
  <c r="I31" i="84" s="1"/>
  <c r="G16" i="86"/>
  <c r="I21" i="84" s="1"/>
  <c r="P21" i="84" s="1"/>
  <c r="L109" i="90"/>
  <c r="L108" i="90"/>
  <c r="G18" i="86"/>
  <c r="I26" i="84" s="1"/>
  <c r="G7" i="86"/>
  <c r="I108" i="84" s="1"/>
  <c r="M108" i="84" s="1"/>
  <c r="H7" i="86"/>
  <c r="K108" i="84" s="1"/>
  <c r="G24" i="86"/>
  <c r="I63" i="84" s="1"/>
  <c r="G30" i="86"/>
  <c r="I97" i="84" s="1"/>
  <c r="G26" i="86"/>
  <c r="I68" i="84" s="1"/>
  <c r="G20" i="86"/>
  <c r="I36" i="84" s="1"/>
  <c r="G32" i="86"/>
  <c r="I120" i="84" s="1"/>
  <c r="G27" i="86"/>
  <c r="I58" i="84" s="1"/>
  <c r="G17" i="86"/>
  <c r="I46" i="84" s="1"/>
  <c r="G9" i="86"/>
  <c r="I85" i="84" s="1"/>
  <c r="G25" i="86"/>
  <c r="I73" i="84" s="1"/>
  <c r="F28" i="86"/>
  <c r="J109" i="90"/>
  <c r="J39" i="84"/>
  <c r="Q24" i="92"/>
  <c r="H34" i="84"/>
  <c r="P21" i="92"/>
  <c r="H9" i="84"/>
  <c r="P6" i="92"/>
  <c r="J108" i="90"/>
  <c r="K109" i="90"/>
  <c r="K108" i="90"/>
  <c r="K110" i="90"/>
  <c r="K44" i="84"/>
  <c r="M44" i="90"/>
  <c r="I110" i="90"/>
  <c r="I109" i="90"/>
  <c r="I108" i="90"/>
  <c r="H110" i="90"/>
  <c r="H108" i="90"/>
  <c r="H109" i="90"/>
  <c r="K61" i="84"/>
  <c r="O44" i="90"/>
  <c r="K71" i="84"/>
  <c r="Q44" i="90"/>
  <c r="I24" i="84"/>
  <c r="J43" i="90"/>
  <c r="I66" i="84"/>
  <c r="H66" i="84" s="1"/>
  <c r="P43" i="90"/>
  <c r="P106" i="90" s="1"/>
  <c r="K9" i="84"/>
  <c r="Q6" i="92" s="1"/>
  <c r="G44" i="90"/>
  <c r="K106" i="84"/>
  <c r="C44" i="90"/>
  <c r="K56" i="84"/>
  <c r="N44" i="90"/>
  <c r="K66" i="84"/>
  <c r="Q66" i="84" s="1"/>
  <c r="P44" i="90"/>
  <c r="N85" i="84"/>
  <c r="M85" i="84"/>
  <c r="J34" i="84"/>
  <c r="P43" i="82"/>
  <c r="J24" i="84"/>
  <c r="Q43" i="82"/>
  <c r="Q44" i="82" s="1"/>
  <c r="E22" i="81"/>
  <c r="S50" i="82"/>
  <c r="I14" i="86"/>
  <c r="K14" i="86" s="1"/>
  <c r="I24" i="86"/>
  <c r="K24" i="86" s="1"/>
  <c r="D34" i="86"/>
  <c r="I7" i="86"/>
  <c r="K7" i="86" s="1"/>
  <c r="K28" i="86"/>
  <c r="E34" i="86"/>
  <c r="J34" i="86" s="1"/>
  <c r="F36" i="86" l="1"/>
  <c r="J9" i="84"/>
  <c r="G14" i="86"/>
  <c r="I11" i="84" s="1"/>
  <c r="AA124" i="96"/>
  <c r="AA125" i="96" s="1"/>
  <c r="J66" i="84"/>
  <c r="AA111" i="96"/>
  <c r="H21" i="86"/>
  <c r="H36" i="86"/>
  <c r="H28" i="86"/>
  <c r="G36" i="86"/>
  <c r="G28" i="86"/>
  <c r="F34" i="86"/>
  <c r="J44" i="84"/>
  <c r="Q27" i="92"/>
  <c r="Q62" i="92" s="1"/>
  <c r="N66" i="84"/>
  <c r="Q33" i="92"/>
  <c r="J56" i="84"/>
  <c r="Q30" i="92"/>
  <c r="M66" i="84"/>
  <c r="P33" i="92"/>
  <c r="P74" i="92" s="1"/>
  <c r="H24" i="84"/>
  <c r="P15" i="92"/>
  <c r="P62" i="92" s="1"/>
  <c r="P70" i="92" s="1"/>
  <c r="J71" i="84"/>
  <c r="Q39" i="92"/>
  <c r="J61" i="84"/>
  <c r="Q36" i="92"/>
  <c r="J106" i="84"/>
  <c r="Q48" i="92"/>
  <c r="P66" i="84"/>
  <c r="M107" i="90"/>
  <c r="M45" i="90"/>
  <c r="M46" i="90"/>
  <c r="M47" i="90"/>
  <c r="P46" i="90"/>
  <c r="P45" i="90"/>
  <c r="P47" i="90"/>
  <c r="P107" i="90"/>
  <c r="N46" i="90"/>
  <c r="N45" i="90"/>
  <c r="N47" i="90"/>
  <c r="N107" i="90"/>
  <c r="C107" i="90"/>
  <c r="C45" i="90"/>
  <c r="C47" i="90"/>
  <c r="C46" i="90"/>
  <c r="G107" i="90"/>
  <c r="G46" i="90"/>
  <c r="G45" i="90"/>
  <c r="G47" i="90"/>
  <c r="J106" i="90"/>
  <c r="R43" i="90"/>
  <c r="R106" i="90" s="1"/>
  <c r="Q107" i="90"/>
  <c r="Q45" i="90"/>
  <c r="Q47" i="90"/>
  <c r="Q46" i="90"/>
  <c r="O107" i="90"/>
  <c r="O47" i="90"/>
  <c r="O46" i="90"/>
  <c r="O45" i="90"/>
  <c r="J73" i="84"/>
  <c r="Q73" i="84"/>
  <c r="N73" i="84"/>
  <c r="H68" i="84"/>
  <c r="P68" i="84"/>
  <c r="M68" i="84"/>
  <c r="M58" i="84"/>
  <c r="H58" i="84"/>
  <c r="P58" i="84"/>
  <c r="N97" i="84"/>
  <c r="Q97" i="84"/>
  <c r="M120" i="84"/>
  <c r="P120" i="84"/>
  <c r="H120" i="84"/>
  <c r="N131" i="84"/>
  <c r="Q131" i="84"/>
  <c r="J131" i="84"/>
  <c r="N16" i="84"/>
  <c r="J16" i="84"/>
  <c r="Q16" i="84"/>
  <c r="N21" i="84"/>
  <c r="J21" i="84"/>
  <c r="Q21" i="84"/>
  <c r="N46" i="84"/>
  <c r="J46" i="84"/>
  <c r="Q46" i="84"/>
  <c r="N26" i="84"/>
  <c r="J26" i="84"/>
  <c r="Q26" i="84"/>
  <c r="N31" i="84"/>
  <c r="Q31" i="84"/>
  <c r="N36" i="84"/>
  <c r="J36" i="84"/>
  <c r="Q36" i="84"/>
  <c r="P73" i="84"/>
  <c r="H73" i="84"/>
  <c r="M73" i="84"/>
  <c r="J68" i="84"/>
  <c r="N68" i="84"/>
  <c r="Q68" i="84"/>
  <c r="N58" i="84"/>
  <c r="J58" i="84"/>
  <c r="Q58" i="84"/>
  <c r="M97" i="84"/>
  <c r="P97" i="84"/>
  <c r="N120" i="84"/>
  <c r="Q120" i="84"/>
  <c r="J120" i="84"/>
  <c r="M131" i="84"/>
  <c r="H131" i="84"/>
  <c r="P131" i="84"/>
  <c r="M16" i="84"/>
  <c r="P16" i="84"/>
  <c r="H16" i="84"/>
  <c r="M21" i="84"/>
  <c r="H21" i="84"/>
  <c r="M46" i="84"/>
  <c r="H46" i="84"/>
  <c r="P46" i="84"/>
  <c r="M26" i="84"/>
  <c r="H26" i="84"/>
  <c r="P26" i="84"/>
  <c r="J31" i="84"/>
  <c r="M31" i="84"/>
  <c r="H31" i="84"/>
  <c r="P31" i="84"/>
  <c r="M36" i="84"/>
  <c r="P36" i="84"/>
  <c r="H36" i="84"/>
  <c r="T50" i="82"/>
  <c r="I34" i="86"/>
  <c r="K34" i="86" s="1"/>
  <c r="G21" i="86" l="1"/>
  <c r="Q66" i="92"/>
  <c r="Q70" i="92" s="1"/>
  <c r="H34" i="86"/>
  <c r="G34" i="86"/>
  <c r="Q74" i="92"/>
  <c r="M110" i="90"/>
  <c r="M109" i="90"/>
  <c r="M108" i="90"/>
  <c r="N108" i="90"/>
  <c r="N110" i="90"/>
  <c r="N109" i="90"/>
  <c r="P108" i="90"/>
  <c r="P110" i="90"/>
  <c r="P109" i="90"/>
  <c r="O108" i="90"/>
  <c r="O110" i="90"/>
  <c r="O109" i="90"/>
  <c r="Q109" i="90"/>
  <c r="Q108" i="90"/>
  <c r="Q110" i="90"/>
  <c r="G109" i="90"/>
  <c r="G110" i="90"/>
  <c r="G108" i="90"/>
  <c r="C109" i="90"/>
  <c r="C108" i="90"/>
  <c r="C110" i="90"/>
  <c r="N108" i="84"/>
  <c r="J108" i="84"/>
  <c r="Q108" i="84"/>
  <c r="N11" i="84"/>
  <c r="J11" i="84"/>
  <c r="Q11" i="84"/>
  <c r="J63" i="84"/>
  <c r="Q63" i="84"/>
  <c r="N63" i="84"/>
  <c r="P108" i="84"/>
  <c r="H108" i="84"/>
  <c r="M11" i="84"/>
  <c r="H11" i="84"/>
  <c r="P11" i="84"/>
  <c r="P63" i="84"/>
  <c r="H63" i="84"/>
  <c r="M63" i="84"/>
  <c r="U50" i="82"/>
  <c r="V50" i="82" l="1"/>
  <c r="W50" i="82" l="1"/>
  <c r="X50" i="82" l="1"/>
  <c r="Y50" i="82" l="1"/>
  <c r="Z50" i="82" l="1"/>
  <c r="AA50" i="82" l="1"/>
  <c r="AB50" i="82" l="1"/>
  <c r="AC50" i="82" l="1"/>
  <c r="AD50" i="82" l="1"/>
  <c r="AE50" i="82" l="1"/>
  <c r="AF50" i="82" l="1"/>
  <c r="AG50" i="82" l="1"/>
  <c r="AH50" i="82" l="1"/>
  <c r="AI50" i="82" l="1"/>
  <c r="AJ50" i="82" l="1"/>
  <c r="N28" i="82" l="1"/>
  <c r="N48" i="82"/>
  <c r="N49" i="82"/>
  <c r="I83" i="84"/>
  <c r="P45" i="92" s="1"/>
  <c r="Q47" i="82"/>
  <c r="R47" i="82" s="1"/>
  <c r="S47" i="82" s="1"/>
  <c r="T47" i="82" s="1"/>
  <c r="U47" i="82" s="1"/>
  <c r="V47" i="82" s="1"/>
  <c r="W47" i="82" s="1"/>
  <c r="X47" i="82" s="1"/>
  <c r="Y47" i="82" s="1"/>
  <c r="Z47" i="82" s="1"/>
  <c r="AA47" i="82" s="1"/>
  <c r="AB47" i="82" s="1"/>
  <c r="AC47" i="82" s="1"/>
  <c r="AD47" i="82" s="1"/>
  <c r="AE47" i="82" s="1"/>
  <c r="AF47" i="82" s="1"/>
  <c r="AG47" i="82" s="1"/>
  <c r="AH47" i="82" s="1"/>
  <c r="AI47" i="82" s="1"/>
  <c r="AJ47" i="82" s="1"/>
  <c r="F17" i="81"/>
  <c r="J85" i="84"/>
  <c r="G85" i="84"/>
  <c r="E83" i="84"/>
  <c r="F83" i="84" s="1"/>
  <c r="E82" i="84"/>
  <c r="J94" i="84"/>
  <c r="H94" i="84"/>
  <c r="P18" i="82"/>
  <c r="AI43" i="82"/>
  <c r="AJ43" i="82"/>
  <c r="AI23" i="82"/>
  <c r="AJ23" i="82"/>
  <c r="N47" i="82"/>
  <c r="H97" i="84"/>
  <c r="J97" i="84"/>
  <c r="I95" i="84"/>
  <c r="P42" i="92" s="1"/>
  <c r="E95" i="84"/>
  <c r="E93" i="84"/>
  <c r="G93" i="84" s="1"/>
  <c r="AJ44" i="82" l="1"/>
  <c r="P58" i="92"/>
  <c r="Q48" i="82"/>
  <c r="R48" i="82" s="1"/>
  <c r="S48" i="82" s="1"/>
  <c r="T48" i="82" s="1"/>
  <c r="U48" i="82" s="1"/>
  <c r="V48" i="82" s="1"/>
  <c r="W48" i="82" s="1"/>
  <c r="X48" i="82" s="1"/>
  <c r="Y48" i="82" s="1"/>
  <c r="Z48" i="82" s="1"/>
  <c r="AA48" i="82" s="1"/>
  <c r="AB48" i="82" s="1"/>
  <c r="AC48" i="82" s="1"/>
  <c r="AD48" i="82" s="1"/>
  <c r="AE48" i="82" s="1"/>
  <c r="AF48" i="82" s="1"/>
  <c r="AG48" i="82" s="1"/>
  <c r="AH48" i="82" s="1"/>
  <c r="AI48" i="82" s="1"/>
  <c r="AJ48" i="82" s="1"/>
  <c r="Q53" i="82"/>
  <c r="R53" i="82" s="1"/>
  <c r="S53" i="82" s="1"/>
  <c r="T53" i="82" s="1"/>
  <c r="U53" i="82" s="1"/>
  <c r="V53" i="82" s="1"/>
  <c r="W53" i="82" s="1"/>
  <c r="X53" i="82" s="1"/>
  <c r="Y53" i="82" s="1"/>
  <c r="Z53" i="82" s="1"/>
  <c r="AA53" i="82" s="1"/>
  <c r="AB53" i="82" s="1"/>
  <c r="AC53" i="82" s="1"/>
  <c r="AD53" i="82" s="1"/>
  <c r="AE53" i="82" s="1"/>
  <c r="AF53" i="82" s="1"/>
  <c r="AG53" i="82" s="1"/>
  <c r="AH53" i="82" s="1"/>
  <c r="AI53" i="82" s="1"/>
  <c r="AJ53" i="82" s="1"/>
  <c r="K129" i="84"/>
  <c r="F44" i="90"/>
  <c r="Q49" i="82"/>
  <c r="R49" i="82" s="1"/>
  <c r="S49" i="82" s="1"/>
  <c r="T49" i="82" s="1"/>
  <c r="U49" i="82" s="1"/>
  <c r="V49" i="82" s="1"/>
  <c r="W49" i="82" s="1"/>
  <c r="X49" i="82" s="1"/>
  <c r="Y49" i="82" s="1"/>
  <c r="Z49" i="82" s="1"/>
  <c r="AA49" i="82" s="1"/>
  <c r="AB49" i="82" s="1"/>
  <c r="AC49" i="82" s="1"/>
  <c r="AD49" i="82" s="1"/>
  <c r="AE49" i="82" s="1"/>
  <c r="AF49" i="82" s="1"/>
  <c r="AG49" i="82" s="1"/>
  <c r="AH49" i="82" s="1"/>
  <c r="AI49" i="82" s="1"/>
  <c r="AJ49" i="82" s="1"/>
  <c r="Q52" i="82"/>
  <c r="R52" i="82" s="1"/>
  <c r="S52" i="82" s="1"/>
  <c r="T52" i="82" s="1"/>
  <c r="U52" i="82" s="1"/>
  <c r="V52" i="82" s="1"/>
  <c r="W52" i="82" s="1"/>
  <c r="X52" i="82" s="1"/>
  <c r="Y52" i="82" s="1"/>
  <c r="Z52" i="82" s="1"/>
  <c r="AA52" i="82" s="1"/>
  <c r="AB52" i="82" s="1"/>
  <c r="AC52" i="82" s="1"/>
  <c r="AD52" i="82" s="1"/>
  <c r="AE52" i="82" s="1"/>
  <c r="AF52" i="82" s="1"/>
  <c r="AG52" i="82" s="1"/>
  <c r="AH52" i="82" s="1"/>
  <c r="AI52" i="82" s="1"/>
  <c r="AJ52" i="82" s="1"/>
  <c r="P85" i="84"/>
  <c r="Q85" i="84"/>
  <c r="H85" i="84"/>
  <c r="AI44" i="82"/>
  <c r="M95" i="84"/>
  <c r="H83" i="84"/>
  <c r="J87" i="84"/>
  <c r="J129" i="84" l="1"/>
  <c r="Q51" i="92"/>
  <c r="K118" i="84"/>
  <c r="E44" i="90"/>
  <c r="AI81" i="82"/>
  <c r="AI84" i="82" s="1"/>
  <c r="AJ81" i="82"/>
  <c r="AJ84" i="82" s="1"/>
  <c r="F46" i="90"/>
  <c r="F107" i="90"/>
  <c r="F45" i="90"/>
  <c r="F47" i="90"/>
  <c r="K83" i="84"/>
  <c r="D44" i="90"/>
  <c r="K95" i="84"/>
  <c r="J95" i="84" s="1"/>
  <c r="B44" i="90"/>
  <c r="N95" i="84" l="1"/>
  <c r="Q42" i="92"/>
  <c r="J118" i="84"/>
  <c r="Q54" i="92"/>
  <c r="AI83" i="82"/>
  <c r="J83" i="84"/>
  <c r="Q45" i="92"/>
  <c r="AJ83" i="82"/>
  <c r="E107" i="90"/>
  <c r="E46" i="90"/>
  <c r="E45" i="90"/>
  <c r="E47" i="90"/>
  <c r="F108" i="90"/>
  <c r="F110" i="90"/>
  <c r="F109" i="90"/>
  <c r="D46" i="90"/>
  <c r="D47" i="90"/>
  <c r="D45" i="90"/>
  <c r="D107" i="90"/>
  <c r="B46" i="90"/>
  <c r="R44" i="90"/>
  <c r="B45" i="90"/>
  <c r="B47" i="90"/>
  <c r="B107" i="90"/>
  <c r="G64" i="79"/>
  <c r="K165" i="84"/>
  <c r="J165" i="84"/>
  <c r="K164" i="84"/>
  <c r="J164" i="84"/>
  <c r="K163" i="84"/>
  <c r="J163" i="84"/>
  <c r="K162" i="84"/>
  <c r="J162" i="84"/>
  <c r="K161" i="84"/>
  <c r="J161" i="84"/>
  <c r="C153" i="84"/>
  <c r="G150" i="84"/>
  <c r="D12" i="88" s="1"/>
  <c r="F150" i="84"/>
  <c r="C12" i="88" s="1"/>
  <c r="E150" i="84"/>
  <c r="B12" i="88" s="1"/>
  <c r="F127" i="84"/>
  <c r="E115" i="84"/>
  <c r="E124" i="84" s="1"/>
  <c r="F104" i="84"/>
  <c r="F112" i="84" s="1"/>
  <c r="E92" i="84"/>
  <c r="E101" i="84" s="1"/>
  <c r="M87" i="84"/>
  <c r="M83" i="84"/>
  <c r="G82" i="84"/>
  <c r="E81" i="84"/>
  <c r="E89" i="84" s="1"/>
  <c r="F77" i="84"/>
  <c r="F69" i="84"/>
  <c r="E69" i="84"/>
  <c r="G65" i="84"/>
  <c r="E59" i="84"/>
  <c r="G55" i="84"/>
  <c r="G54" i="84" s="1"/>
  <c r="E54" i="84"/>
  <c r="F50" i="84"/>
  <c r="E37" i="84"/>
  <c r="P34" i="84"/>
  <c r="G33" i="84"/>
  <c r="E32" i="84"/>
  <c r="E27" i="84"/>
  <c r="P24" i="84"/>
  <c r="G23" i="84"/>
  <c r="E22" i="84"/>
  <c r="E17" i="84"/>
  <c r="P14" i="84"/>
  <c r="K150" i="84"/>
  <c r="F12" i="88" s="1"/>
  <c r="H150" i="84"/>
  <c r="G8" i="84"/>
  <c r="AH43" i="82"/>
  <c r="AH23" i="82"/>
  <c r="M23" i="82"/>
  <c r="L23" i="82"/>
  <c r="K23" i="82"/>
  <c r="J23" i="82"/>
  <c r="I23" i="82"/>
  <c r="H23" i="82"/>
  <c r="G23" i="82"/>
  <c r="F23" i="82"/>
  <c r="E23" i="82"/>
  <c r="D23" i="82"/>
  <c r="C23" i="82"/>
  <c r="B23" i="82"/>
  <c r="N21" i="82"/>
  <c r="F41" i="90" s="1"/>
  <c r="F104" i="90" s="1"/>
  <c r="N18" i="82"/>
  <c r="B41" i="90" s="1"/>
  <c r="N17" i="82"/>
  <c r="D41" i="90" s="1"/>
  <c r="N12" i="82"/>
  <c r="M41" i="90" s="1"/>
  <c r="M104" i="90" s="1"/>
  <c r="O23" i="82"/>
  <c r="O24" i="82" s="1"/>
  <c r="N11" i="82"/>
  <c r="AE23" i="82"/>
  <c r="AC23" i="82"/>
  <c r="AA23" i="82"/>
  <c r="Y23" i="82"/>
  <c r="W23" i="82"/>
  <c r="U23" i="82"/>
  <c r="S23" i="82"/>
  <c r="E80" i="81"/>
  <c r="L22" i="81" s="1"/>
  <c r="C22" i="81"/>
  <c r="E23" i="81" s="1"/>
  <c r="F22" i="81"/>
  <c r="C16" i="80"/>
  <c r="C17" i="80" s="1"/>
  <c r="L112" i="79"/>
  <c r="I112" i="79"/>
  <c r="M112" i="79" s="1"/>
  <c r="F112" i="79"/>
  <c r="E112" i="79"/>
  <c r="K111" i="79"/>
  <c r="H111" i="79"/>
  <c r="L111" i="79" s="1"/>
  <c r="F111" i="79"/>
  <c r="E111" i="79"/>
  <c r="K110" i="79"/>
  <c r="H110" i="79"/>
  <c r="L110" i="79" s="1"/>
  <c r="F110" i="79"/>
  <c r="E110" i="79"/>
  <c r="K109" i="79"/>
  <c r="H109" i="79"/>
  <c r="L109" i="79" s="1"/>
  <c r="I101" i="79"/>
  <c r="H101" i="79"/>
  <c r="F101" i="79"/>
  <c r="E101" i="79"/>
  <c r="F99" i="79"/>
  <c r="F138" i="84" s="1"/>
  <c r="E138" i="84"/>
  <c r="B16" i="88" s="1"/>
  <c r="G96" i="79"/>
  <c r="F100" i="79"/>
  <c r="G89" i="79"/>
  <c r="G87" i="79"/>
  <c r="G86" i="79"/>
  <c r="G84" i="79"/>
  <c r="G83" i="79"/>
  <c r="G82" i="79"/>
  <c r="G81" i="79"/>
  <c r="G80" i="79"/>
  <c r="G79" i="79"/>
  <c r="G78" i="79"/>
  <c r="G75" i="79"/>
  <c r="G74" i="79"/>
  <c r="G73" i="79"/>
  <c r="H73" i="79" s="1"/>
  <c r="G71" i="79"/>
  <c r="G70" i="79"/>
  <c r="G69" i="79"/>
  <c r="G67" i="79"/>
  <c r="G66" i="79"/>
  <c r="G65" i="79"/>
  <c r="G63" i="79"/>
  <c r="G62" i="79"/>
  <c r="G61" i="79"/>
  <c r="G60" i="79"/>
  <c r="G59" i="79"/>
  <c r="G58" i="79"/>
  <c r="G57" i="79"/>
  <c r="G54" i="79"/>
  <c r="G53" i="79"/>
  <c r="G133" i="84" s="1"/>
  <c r="H133" i="84" s="1"/>
  <c r="G46" i="79"/>
  <c r="G42" i="79"/>
  <c r="G38" i="79"/>
  <c r="G37" i="79"/>
  <c r="G35" i="79"/>
  <c r="G34" i="79"/>
  <c r="G32" i="79"/>
  <c r="G28" i="79"/>
  <c r="G27" i="79"/>
  <c r="G26" i="79"/>
  <c r="H26" i="79" s="1"/>
  <c r="I26" i="79" s="1"/>
  <c r="G25" i="79"/>
  <c r="G24" i="79"/>
  <c r="H24" i="79" s="1"/>
  <c r="I24" i="79" s="1"/>
  <c r="G23" i="79"/>
  <c r="G21" i="79"/>
  <c r="G20" i="79"/>
  <c r="G19" i="79"/>
  <c r="H19" i="79" s="1"/>
  <c r="I19" i="79" s="1"/>
  <c r="G18" i="79"/>
  <c r="G14" i="79"/>
  <c r="G13" i="79"/>
  <c r="G12" i="79"/>
  <c r="G11" i="79"/>
  <c r="H11" i="79" s="1"/>
  <c r="I11" i="79" s="1"/>
  <c r="G10" i="79"/>
  <c r="G9" i="79"/>
  <c r="G8" i="79"/>
  <c r="M3" i="79"/>
  <c r="M2" i="79"/>
  <c r="G101" i="79" l="1"/>
  <c r="G173" i="84"/>
  <c r="D21" i="88" s="1"/>
  <c r="D63" i="90"/>
  <c r="D104" i="90"/>
  <c r="N23" i="82"/>
  <c r="B104" i="90"/>
  <c r="R63" i="90"/>
  <c r="R41" i="90"/>
  <c r="R104" i="90" s="1"/>
  <c r="E102" i="79"/>
  <c r="I8" i="79"/>
  <c r="H8" i="79"/>
  <c r="I10" i="79"/>
  <c r="H10" i="79"/>
  <c r="H46" i="79"/>
  <c r="I73" i="79"/>
  <c r="I89" i="79"/>
  <c r="K141" i="84" s="1"/>
  <c r="N141" i="84" s="1"/>
  <c r="I141" i="84"/>
  <c r="P141" i="84" s="1"/>
  <c r="H23" i="79"/>
  <c r="I23" i="79"/>
  <c r="I25" i="79"/>
  <c r="H25" i="79"/>
  <c r="G110" i="84"/>
  <c r="H61" i="79"/>
  <c r="I173" i="84" s="1"/>
  <c r="P173" i="84" s="1"/>
  <c r="I61" i="79"/>
  <c r="K173" i="84" s="1"/>
  <c r="G48" i="84"/>
  <c r="G98" i="79"/>
  <c r="I12" i="88"/>
  <c r="Q58" i="92"/>
  <c r="J148" i="84"/>
  <c r="J169" i="84" s="1"/>
  <c r="E109" i="90"/>
  <c r="E108" i="90"/>
  <c r="E110" i="90"/>
  <c r="D110" i="90"/>
  <c r="D109" i="90"/>
  <c r="D108" i="90"/>
  <c r="B110" i="90"/>
  <c r="B109" i="90"/>
  <c r="B108" i="90"/>
  <c r="R107" i="90"/>
  <c r="R45" i="90"/>
  <c r="R46" i="90"/>
  <c r="R47" i="90"/>
  <c r="G138" i="84"/>
  <c r="D16" i="88" s="1"/>
  <c r="C16" i="88"/>
  <c r="H87" i="84"/>
  <c r="K170" i="84"/>
  <c r="Q150" i="84"/>
  <c r="F22" i="84"/>
  <c r="F12" i="84"/>
  <c r="G13" i="84"/>
  <c r="G12" i="84" s="1"/>
  <c r="F17" i="84"/>
  <c r="G18" i="84"/>
  <c r="G17" i="84" s="1"/>
  <c r="F27" i="84"/>
  <c r="G28" i="84"/>
  <c r="F42" i="84"/>
  <c r="F59" i="84"/>
  <c r="G60" i="84"/>
  <c r="F32" i="84"/>
  <c r="F54" i="84"/>
  <c r="F64" i="84"/>
  <c r="F81" i="84"/>
  <c r="F89" i="84" s="1"/>
  <c r="G89" i="84" s="1"/>
  <c r="F37" i="84"/>
  <c r="G38" i="84"/>
  <c r="AH44" i="82"/>
  <c r="F115" i="84"/>
  <c r="F124" i="84" s="1"/>
  <c r="G124" i="84" s="1"/>
  <c r="G116" i="84"/>
  <c r="E137" i="84"/>
  <c r="E151" i="84" s="1"/>
  <c r="G81" i="84"/>
  <c r="M14" i="84"/>
  <c r="G69" i="84"/>
  <c r="E7" i="84"/>
  <c r="F146" i="84"/>
  <c r="C6" i="88" s="1"/>
  <c r="E148" i="84"/>
  <c r="B8" i="88" s="1"/>
  <c r="I148" i="84"/>
  <c r="E8" i="88" s="1"/>
  <c r="K148" i="84"/>
  <c r="F8" i="88" s="1"/>
  <c r="I150" i="84"/>
  <c r="E12" i="88" s="1"/>
  <c r="H12" i="88" s="1"/>
  <c r="E12" i="84"/>
  <c r="M24" i="84"/>
  <c r="M34" i="84"/>
  <c r="M56" i="84"/>
  <c r="M118" i="84"/>
  <c r="E127" i="84"/>
  <c r="E135" i="84" s="1"/>
  <c r="P23" i="82"/>
  <c r="L21" i="81" s="1"/>
  <c r="L23" i="81" s="1"/>
  <c r="R23" i="82"/>
  <c r="T23" i="82"/>
  <c r="V23" i="82"/>
  <c r="X23" i="82"/>
  <c r="Z23" i="82"/>
  <c r="AB23" i="82"/>
  <c r="AD23" i="82"/>
  <c r="AF23" i="82"/>
  <c r="G22" i="84"/>
  <c r="Q24" i="84"/>
  <c r="Q44" i="84"/>
  <c r="Q61" i="84"/>
  <c r="Q71" i="84"/>
  <c r="M106" i="84"/>
  <c r="Q14" i="84"/>
  <c r="G32" i="84"/>
  <c r="Q34" i="84"/>
  <c r="E64" i="84"/>
  <c r="E78" i="84" s="1"/>
  <c r="G64" i="84"/>
  <c r="E104" i="84"/>
  <c r="E112" i="84" s="1"/>
  <c r="G112" i="84" s="1"/>
  <c r="G104" i="84"/>
  <c r="F135" i="84"/>
  <c r="Q129" i="84"/>
  <c r="F137" i="84"/>
  <c r="F151" i="84" s="1"/>
  <c r="F23" i="81"/>
  <c r="D16" i="80"/>
  <c r="D17" i="80" s="1"/>
  <c r="G99" i="79"/>
  <c r="P19" i="84"/>
  <c r="Q19" i="84"/>
  <c r="P29" i="84"/>
  <c r="Q29" i="84"/>
  <c r="P39" i="84"/>
  <c r="P129" i="84"/>
  <c r="M129" i="84"/>
  <c r="P133" i="84"/>
  <c r="M133" i="84"/>
  <c r="P140" i="84"/>
  <c r="M140" i="84"/>
  <c r="P142" i="84"/>
  <c r="M142" i="84"/>
  <c r="F7" i="84"/>
  <c r="M9" i="84"/>
  <c r="P9" i="84"/>
  <c r="N14" i="84"/>
  <c r="M19" i="84"/>
  <c r="N24" i="84"/>
  <c r="M29" i="84"/>
  <c r="N34" i="84"/>
  <c r="M39" i="84"/>
  <c r="N44" i="84"/>
  <c r="N61" i="84"/>
  <c r="N71" i="84"/>
  <c r="Q87" i="84"/>
  <c r="P87" i="84"/>
  <c r="Q118" i="84"/>
  <c r="P118" i="84"/>
  <c r="G127" i="84"/>
  <c r="N133" i="84"/>
  <c r="N140" i="84"/>
  <c r="N142" i="84"/>
  <c r="Q39" i="84"/>
  <c r="N39" i="84"/>
  <c r="P44" i="84"/>
  <c r="M44" i="84"/>
  <c r="P61" i="84"/>
  <c r="M61" i="84"/>
  <c r="P71" i="84"/>
  <c r="M71" i="84"/>
  <c r="N9" i="84"/>
  <c r="Q9" i="84"/>
  <c r="N19" i="84"/>
  <c r="N29" i="84"/>
  <c r="Q56" i="84"/>
  <c r="P56" i="84"/>
  <c r="Q83" i="84"/>
  <c r="P83" i="84"/>
  <c r="Q106" i="84"/>
  <c r="P106" i="84"/>
  <c r="N129" i="84"/>
  <c r="Q133" i="84"/>
  <c r="Q140" i="84"/>
  <c r="Q142" i="84"/>
  <c r="K156" i="84"/>
  <c r="N56" i="84"/>
  <c r="N83" i="84"/>
  <c r="N87" i="84"/>
  <c r="N106" i="84"/>
  <c r="N118" i="84"/>
  <c r="R81" i="82"/>
  <c r="M22" i="81"/>
  <c r="M23" i="81" s="1"/>
  <c r="AG23" i="82"/>
  <c r="E16" i="80"/>
  <c r="E17" i="80" s="1"/>
  <c r="H99" i="79"/>
  <c r="F102" i="79"/>
  <c r="F105" i="79" s="1"/>
  <c r="I99" i="79"/>
  <c r="K138" i="84" s="1"/>
  <c r="F16" i="88" s="1"/>
  <c r="G92" i="79"/>
  <c r="H92" i="79" s="1"/>
  <c r="H100" i="79" s="1"/>
  <c r="I109" i="79"/>
  <c r="M109" i="79" s="1"/>
  <c r="I110" i="79"/>
  <c r="M110" i="79" s="1"/>
  <c r="I111" i="79"/>
  <c r="M111" i="79" s="1"/>
  <c r="M141" i="84" l="1"/>
  <c r="K75" i="84"/>
  <c r="Q75" i="84" s="1"/>
  <c r="G37" i="84"/>
  <c r="G114" i="79"/>
  <c r="E105" i="79"/>
  <c r="E106" i="79" s="1"/>
  <c r="I156" i="84"/>
  <c r="F21" i="88"/>
  <c r="I21" i="88" s="1"/>
  <c r="K21" i="88" s="1"/>
  <c r="N173" i="84"/>
  <c r="I46" i="79"/>
  <c r="K48" i="84"/>
  <c r="G100" i="79"/>
  <c r="G139" i="84"/>
  <c r="D18" i="88" s="1"/>
  <c r="E21" i="88"/>
  <c r="H21" i="88" s="1"/>
  <c r="J21" i="88" s="1"/>
  <c r="M173" i="84"/>
  <c r="I37" i="79"/>
  <c r="K110" i="84" s="1"/>
  <c r="I110" i="84"/>
  <c r="J141" i="84"/>
  <c r="H141" i="84"/>
  <c r="I48" i="84"/>
  <c r="H48" i="84" s="1"/>
  <c r="Q141" i="84"/>
  <c r="N75" i="84"/>
  <c r="Q173" i="84"/>
  <c r="I75" i="84"/>
  <c r="I16" i="88"/>
  <c r="K16" i="88" s="1"/>
  <c r="F106" i="79"/>
  <c r="D14" i="88"/>
  <c r="K12" i="88"/>
  <c r="J12" i="88"/>
  <c r="R110" i="90"/>
  <c r="R109" i="90"/>
  <c r="R108" i="90"/>
  <c r="G102" i="79"/>
  <c r="G105" i="79" s="1"/>
  <c r="F51" i="84"/>
  <c r="G27" i="84"/>
  <c r="G59" i="84"/>
  <c r="I170" i="84"/>
  <c r="P150" i="84"/>
  <c r="F78" i="84"/>
  <c r="G78" i="84" s="1"/>
  <c r="N148" i="84"/>
  <c r="I138" i="84"/>
  <c r="E16" i="88" s="1"/>
  <c r="H16" i="88" s="1"/>
  <c r="J16" i="88" s="1"/>
  <c r="G135" i="84"/>
  <c r="K169" i="84"/>
  <c r="G115" i="84"/>
  <c r="M148" i="84"/>
  <c r="I169" i="84"/>
  <c r="V81" i="82"/>
  <c r="AD81" i="82"/>
  <c r="G7" i="84"/>
  <c r="J150" i="84"/>
  <c r="AF43" i="82"/>
  <c r="AF44" i="82" s="1"/>
  <c r="X43" i="82"/>
  <c r="X44" i="82" s="1"/>
  <c r="P84" i="82"/>
  <c r="Z43" i="82"/>
  <c r="Z44" i="82" s="1"/>
  <c r="R43" i="82"/>
  <c r="R84" i="82" s="1"/>
  <c r="Z81" i="82"/>
  <c r="AH81" i="82"/>
  <c r="AH84" i="82" s="1"/>
  <c r="S81" i="82"/>
  <c r="W81" i="82"/>
  <c r="AA81" i="82"/>
  <c r="AE81" i="82"/>
  <c r="U43" i="82"/>
  <c r="U44" i="82" s="1"/>
  <c r="Y43" i="82"/>
  <c r="Y44" i="82" s="1"/>
  <c r="AC43" i="82"/>
  <c r="AC44" i="82" s="1"/>
  <c r="AG43" i="82"/>
  <c r="AG44" i="82" s="1"/>
  <c r="AB43" i="82"/>
  <c r="AB44" i="82" s="1"/>
  <c r="T43" i="82"/>
  <c r="T44" i="82" s="1"/>
  <c r="AD43" i="82"/>
  <c r="AD44" i="82" s="1"/>
  <c r="V43" i="82"/>
  <c r="V44" i="82" s="1"/>
  <c r="T81" i="82"/>
  <c r="X81" i="82"/>
  <c r="AB81" i="82"/>
  <c r="AF81" i="82"/>
  <c r="Q81" i="82"/>
  <c r="Q83" i="82" s="1"/>
  <c r="U81" i="82"/>
  <c r="Y81" i="82"/>
  <c r="AC81" i="82"/>
  <c r="AG81" i="82"/>
  <c r="S43" i="82"/>
  <c r="S44" i="82" s="1"/>
  <c r="W43" i="82"/>
  <c r="W44" i="82" s="1"/>
  <c r="AA43" i="82"/>
  <c r="AA44" i="82" s="1"/>
  <c r="AE43" i="82"/>
  <c r="AE44" i="82" s="1"/>
  <c r="G137" i="84" l="1"/>
  <c r="G151" i="84" s="1"/>
  <c r="AB84" i="82"/>
  <c r="H75" i="84"/>
  <c r="P75" i="84"/>
  <c r="M75" i="84"/>
  <c r="E14" i="88"/>
  <c r="H14" i="88" s="1"/>
  <c r="J14" i="88" s="1"/>
  <c r="P48" i="84"/>
  <c r="M48" i="84"/>
  <c r="H110" i="84"/>
  <c r="M110" i="84"/>
  <c r="P110" i="84"/>
  <c r="F14" i="88"/>
  <c r="I14" i="88" s="1"/>
  <c r="K14" i="88" s="1"/>
  <c r="J48" i="84"/>
  <c r="N48" i="84"/>
  <c r="Q48" i="84"/>
  <c r="J99" i="84"/>
  <c r="Q99" i="84"/>
  <c r="N99" i="84"/>
  <c r="J75" i="84"/>
  <c r="J110" i="84"/>
  <c r="Q110" i="84"/>
  <c r="N110" i="84"/>
  <c r="I139" i="84"/>
  <c r="I137" i="84" s="1"/>
  <c r="I92" i="79"/>
  <c r="H114" i="79"/>
  <c r="M99" i="84"/>
  <c r="H99" i="84"/>
  <c r="P99" i="84"/>
  <c r="I98" i="79"/>
  <c r="G106" i="79"/>
  <c r="Z84" i="82"/>
  <c r="X84" i="82"/>
  <c r="H138" i="84"/>
  <c r="M138" i="84"/>
  <c r="P138" i="84"/>
  <c r="J138" i="84"/>
  <c r="Q138" i="84"/>
  <c r="N138" i="84"/>
  <c r="AC84" i="82"/>
  <c r="U84" i="82"/>
  <c r="AF84" i="82"/>
  <c r="AG84" i="82"/>
  <c r="Y84" i="82"/>
  <c r="T84" i="82"/>
  <c r="AA84" i="82"/>
  <c r="S84" i="82"/>
  <c r="V84" i="82"/>
  <c r="AE84" i="82"/>
  <c r="W84" i="82"/>
  <c r="AD84" i="82"/>
  <c r="R44" i="82"/>
  <c r="Q84" i="82"/>
  <c r="P44" i="82"/>
  <c r="P83" i="82" s="1"/>
  <c r="H102" i="79"/>
  <c r="H105" i="79" s="1"/>
  <c r="J170" i="84"/>
  <c r="AH83" i="82"/>
  <c r="E18" i="88" l="1"/>
  <c r="H139" i="84"/>
  <c r="P139" i="84"/>
  <c r="M139" i="84"/>
  <c r="K139" i="84"/>
  <c r="I114" i="79"/>
  <c r="K114" i="79" s="1"/>
  <c r="I100" i="79"/>
  <c r="I102" i="79" s="1"/>
  <c r="H103" i="79"/>
  <c r="H106" i="79"/>
  <c r="P137" i="84"/>
  <c r="I151" i="84"/>
  <c r="M137" i="84"/>
  <c r="H137" i="84"/>
  <c r="H151" i="84" s="1"/>
  <c r="H104" i="79"/>
  <c r="R83" i="82"/>
  <c r="I103" i="79" l="1"/>
  <c r="I105" i="79"/>
  <c r="I106" i="79" s="1"/>
  <c r="H18" i="88"/>
  <c r="J18" i="88" s="1"/>
  <c r="I104" i="79"/>
  <c r="F18" i="88"/>
  <c r="I18" i="88" s="1"/>
  <c r="K18" i="88" s="1"/>
  <c r="J139" i="84"/>
  <c r="N139" i="84"/>
  <c r="Q139" i="84"/>
  <c r="K137" i="84"/>
  <c r="I171" i="84"/>
  <c r="M151" i="84"/>
  <c r="I157" i="84"/>
  <c r="P151" i="84"/>
  <c r="S83" i="82"/>
  <c r="Q137" i="84" l="1"/>
  <c r="K151" i="84"/>
  <c r="N137" i="84"/>
  <c r="J137" i="84"/>
  <c r="J151" i="84" s="1"/>
  <c r="J171" i="84" s="1"/>
  <c r="T83" i="82"/>
  <c r="Q151" i="84" l="1"/>
  <c r="K171" i="84"/>
  <c r="K157" i="84"/>
  <c r="N151" i="84"/>
  <c r="U83" i="82"/>
  <c r="V83" i="82" l="1"/>
  <c r="W83" i="82" l="1"/>
  <c r="X83" i="82" l="1"/>
  <c r="Y83" i="82" l="1"/>
  <c r="Z83" i="82" l="1"/>
  <c r="AA83" i="82" l="1"/>
  <c r="AB83" i="82" l="1"/>
  <c r="AC83" i="82" l="1"/>
  <c r="AD83" i="82" l="1"/>
  <c r="AE83" i="82" l="1"/>
  <c r="AG83" i="82" l="1"/>
  <c r="AF83" i="82"/>
  <c r="H61" i="76" l="1"/>
  <c r="F61" i="76"/>
  <c r="H60" i="76"/>
  <c r="F60" i="76"/>
  <c r="H22" i="76"/>
  <c r="F22" i="76"/>
  <c r="H21" i="76"/>
  <c r="F21" i="76"/>
  <c r="F72" i="76"/>
  <c r="F70" i="76"/>
  <c r="H68" i="76"/>
  <c r="H66" i="76"/>
  <c r="F66" i="76"/>
  <c r="H64" i="76"/>
  <c r="F64" i="76"/>
  <c r="H59" i="76"/>
  <c r="F59" i="76"/>
  <c r="H58" i="76"/>
  <c r="G58" i="76"/>
  <c r="H53" i="76"/>
  <c r="G53" i="76"/>
  <c r="H52" i="76"/>
  <c r="F52" i="76"/>
  <c r="H51" i="76"/>
  <c r="F51" i="76"/>
  <c r="H50" i="76"/>
  <c r="F50" i="76"/>
  <c r="H49" i="76"/>
  <c r="F49" i="76"/>
  <c r="H48" i="76"/>
  <c r="H55" i="76" s="1"/>
  <c r="F48" i="76"/>
  <c r="H47" i="76"/>
  <c r="G47" i="76"/>
  <c r="K54" i="76"/>
  <c r="C54" i="76"/>
  <c r="F33" i="76"/>
  <c r="F31" i="76"/>
  <c r="H29" i="76"/>
  <c r="H27" i="76"/>
  <c r="F27" i="76"/>
  <c r="H25" i="76"/>
  <c r="F25" i="76"/>
  <c r="H20" i="76"/>
  <c r="F20" i="76"/>
  <c r="H19" i="76"/>
  <c r="H23" i="76" s="1"/>
  <c r="G19" i="76"/>
  <c r="H14" i="76"/>
  <c r="G14" i="76"/>
  <c r="H13" i="76"/>
  <c r="F13" i="76"/>
  <c r="H12" i="76"/>
  <c r="F12" i="76"/>
  <c r="H11" i="76"/>
  <c r="F11" i="76"/>
  <c r="H10" i="76"/>
  <c r="F10" i="76"/>
  <c r="H9" i="76"/>
  <c r="F9" i="76"/>
  <c r="H8" i="76"/>
  <c r="G8" i="76"/>
  <c r="C15" i="76"/>
  <c r="C40" i="76"/>
  <c r="K15" i="76"/>
  <c r="H16" i="76" l="1"/>
  <c r="M15" i="76"/>
  <c r="H62" i="76"/>
  <c r="X65" i="73"/>
  <c r="X61" i="73"/>
  <c r="X57" i="73"/>
  <c r="X53" i="73"/>
  <c r="X49" i="73"/>
  <c r="X42" i="73"/>
  <c r="X39" i="73"/>
  <c r="X36" i="73"/>
  <c r="X33" i="73"/>
  <c r="X26" i="73"/>
  <c r="X23" i="73"/>
  <c r="X20" i="73"/>
  <c r="X17" i="73"/>
  <c r="X14" i="73"/>
  <c r="X11" i="73"/>
  <c r="X8" i="73"/>
  <c r="X65" i="70"/>
  <c r="X61" i="70"/>
  <c r="X57" i="70"/>
  <c r="X53" i="70"/>
  <c r="X49" i="70"/>
  <c r="X42" i="70"/>
  <c r="X39" i="70"/>
  <c r="X36" i="70"/>
  <c r="X33" i="70"/>
  <c r="X26" i="70"/>
  <c r="X23" i="70"/>
  <c r="X20" i="70"/>
  <c r="X17" i="70"/>
  <c r="X14" i="70"/>
  <c r="X11" i="70"/>
  <c r="X8" i="70"/>
  <c r="P191" i="31"/>
  <c r="P190" i="31"/>
  <c r="R190" i="31" s="1"/>
  <c r="P189" i="31"/>
  <c r="R189" i="31" s="1"/>
  <c r="W65" i="73" l="1"/>
  <c r="W65" i="70"/>
  <c r="Z141" i="58"/>
  <c r="Z136" i="58"/>
  <c r="Z131" i="58"/>
  <c r="Z140" i="58"/>
  <c r="Z135" i="58"/>
  <c r="Z130" i="58"/>
  <c r="C31" i="71" l="1"/>
  <c r="C37" i="71" s="1"/>
  <c r="C33" i="71"/>
  <c r="C34" i="71" s="1"/>
  <c r="D34" i="71" s="1"/>
  <c r="D32" i="71"/>
  <c r="D31" i="71" l="1"/>
  <c r="C30" i="71"/>
  <c r="D30" i="71" s="1"/>
  <c r="D33" i="71"/>
  <c r="D148" i="58"/>
  <c r="F145" i="58" s="1"/>
  <c r="F147" i="58"/>
  <c r="J142" i="58"/>
  <c r="H142" i="58"/>
  <c r="F142" i="58"/>
  <c r="N141" i="58"/>
  <c r="N140" i="58"/>
  <c r="N142" i="58" s="1"/>
  <c r="B147" i="58" s="1"/>
  <c r="J137" i="58"/>
  <c r="H137" i="58"/>
  <c r="F137" i="58"/>
  <c r="N136" i="58"/>
  <c r="N135" i="58"/>
  <c r="N137" i="58" s="1"/>
  <c r="B146" i="58" s="1"/>
  <c r="L132" i="58"/>
  <c r="J132" i="58"/>
  <c r="H132" i="58"/>
  <c r="N131" i="58"/>
  <c r="N130" i="58"/>
  <c r="AA66" i="73"/>
  <c r="AA62" i="73"/>
  <c r="AA58" i="73"/>
  <c r="AA54" i="73"/>
  <c r="AA50" i="73"/>
  <c r="AA43" i="73"/>
  <c r="AA40" i="73"/>
  <c r="AA37" i="73"/>
  <c r="AA34" i="73"/>
  <c r="AA27" i="73"/>
  <c r="AA24" i="73"/>
  <c r="AA21" i="73"/>
  <c r="AA18" i="73"/>
  <c r="AA15" i="73"/>
  <c r="AA12" i="73"/>
  <c r="AA9" i="73"/>
  <c r="AA66" i="70"/>
  <c r="AA62" i="70"/>
  <c r="AA58" i="70"/>
  <c r="AA54" i="70"/>
  <c r="AA50" i="70"/>
  <c r="AA43" i="70"/>
  <c r="AA40" i="70"/>
  <c r="AA37" i="70"/>
  <c r="AA34" i="70"/>
  <c r="AA27" i="70"/>
  <c r="AA24" i="70"/>
  <c r="AA21" i="70"/>
  <c r="AA18" i="70"/>
  <c r="AA15" i="70"/>
  <c r="AA12" i="70"/>
  <c r="AA9" i="70"/>
  <c r="N132" i="58" l="1"/>
  <c r="B145" i="58" s="1"/>
  <c r="L145" i="58" s="1"/>
  <c r="F146" i="58"/>
  <c r="L146" i="58"/>
  <c r="L148" i="58" s="1"/>
  <c r="L147" i="58"/>
  <c r="L14" i="72"/>
  <c r="L15" i="72"/>
  <c r="C14" i="72"/>
  <c r="E43" i="84" l="1"/>
  <c r="M42" i="75"/>
  <c r="N42" i="75"/>
  <c r="N41" i="75"/>
  <c r="C55" i="71"/>
  <c r="W66" i="70" s="1"/>
  <c r="C54" i="71"/>
  <c r="C41" i="71"/>
  <c r="C42" i="71"/>
  <c r="C40" i="71"/>
  <c r="C36" i="71"/>
  <c r="E146" i="84" l="1"/>
  <c r="E42" i="84"/>
  <c r="E51" i="84" s="1"/>
  <c r="G51" i="84" s="1"/>
  <c r="G43" i="84"/>
  <c r="G42" i="84" l="1"/>
  <c r="G146" i="84"/>
  <c r="D6" i="88" s="1"/>
  <c r="B6" i="88"/>
  <c r="B19" i="88" s="1"/>
  <c r="B22" i="88" s="1"/>
  <c r="E145" i="84"/>
  <c r="E172" i="84" s="1"/>
  <c r="E174" i="84" s="1"/>
  <c r="R76" i="21"/>
  <c r="R75" i="21"/>
  <c r="P76" i="21"/>
  <c r="P75" i="21"/>
  <c r="N76" i="21"/>
  <c r="N75" i="21"/>
  <c r="T609" i="21"/>
  <c r="B55" i="88" l="1"/>
  <c r="Q80" i="75"/>
  <c r="Q79" i="75"/>
  <c r="Q78" i="75"/>
  <c r="Q77" i="75"/>
  <c r="Q76" i="75"/>
  <c r="P80" i="75"/>
  <c r="P79" i="75"/>
  <c r="P78" i="75"/>
  <c r="P77" i="75"/>
  <c r="P76" i="75"/>
  <c r="O80" i="75"/>
  <c r="O79" i="75"/>
  <c r="O78" i="75"/>
  <c r="O77" i="75"/>
  <c r="O76" i="75"/>
  <c r="N80" i="75"/>
  <c r="N79" i="75"/>
  <c r="N78" i="75"/>
  <c r="N77" i="75"/>
  <c r="N76" i="75"/>
  <c r="M80" i="75"/>
  <c r="M79" i="75"/>
  <c r="M78" i="75"/>
  <c r="M77" i="75"/>
  <c r="M76" i="75"/>
  <c r="L80" i="75"/>
  <c r="L79" i="75"/>
  <c r="L78" i="75"/>
  <c r="L77" i="75"/>
  <c r="L76" i="75"/>
  <c r="K80" i="75"/>
  <c r="K79" i="75"/>
  <c r="K78" i="75"/>
  <c r="K77" i="75"/>
  <c r="K76" i="75"/>
  <c r="J80" i="75"/>
  <c r="J79" i="75"/>
  <c r="J78" i="75"/>
  <c r="J77" i="75"/>
  <c r="J76" i="75"/>
  <c r="I80" i="75"/>
  <c r="I79" i="75"/>
  <c r="I78" i="75"/>
  <c r="I77" i="75"/>
  <c r="I76" i="75"/>
  <c r="H80" i="75"/>
  <c r="H79" i="75"/>
  <c r="H78" i="75"/>
  <c r="H77" i="75"/>
  <c r="H76" i="75"/>
  <c r="G80" i="75"/>
  <c r="G79" i="75"/>
  <c r="G78" i="75"/>
  <c r="G77" i="75"/>
  <c r="G76" i="75"/>
  <c r="F80" i="75"/>
  <c r="F79" i="75"/>
  <c r="F78" i="75"/>
  <c r="F77" i="75"/>
  <c r="F76" i="75"/>
  <c r="E80" i="75"/>
  <c r="E79" i="75"/>
  <c r="E78" i="75"/>
  <c r="E77" i="75"/>
  <c r="E76" i="75"/>
  <c r="D80" i="75"/>
  <c r="D79" i="75"/>
  <c r="D78" i="75"/>
  <c r="D77" i="75"/>
  <c r="D76" i="75"/>
  <c r="C80" i="75"/>
  <c r="C79" i="75"/>
  <c r="C78" i="75"/>
  <c r="C77" i="75"/>
  <c r="C76" i="75"/>
  <c r="M87" i="75" l="1"/>
  <c r="L87" i="75"/>
  <c r="K87" i="75"/>
  <c r="J87" i="75"/>
  <c r="I87" i="75"/>
  <c r="H87" i="75"/>
  <c r="G87" i="75"/>
  <c r="C87" i="75"/>
  <c r="L80" i="58"/>
  <c r="J80" i="58"/>
  <c r="H80" i="58"/>
  <c r="F80" i="58"/>
  <c r="D80" i="58"/>
  <c r="R371" i="21" l="1"/>
  <c r="P371" i="21"/>
  <c r="N371" i="21"/>
  <c r="L371" i="21"/>
  <c r="J371" i="21"/>
  <c r="H371" i="21"/>
  <c r="F371" i="21"/>
  <c r="D371" i="21"/>
  <c r="B371" i="21"/>
  <c r="B428" i="21"/>
  <c r="B424" i="21"/>
  <c r="B420" i="21"/>
  <c r="Q87" i="75"/>
  <c r="P87" i="75"/>
  <c r="O87" i="75"/>
  <c r="N87" i="75"/>
  <c r="F87" i="75"/>
  <c r="E87" i="75"/>
  <c r="D87" i="75"/>
  <c r="B87" i="75"/>
  <c r="R83" i="75" l="1"/>
  <c r="R81" i="75"/>
  <c r="R82" i="75"/>
  <c r="R84" i="75"/>
  <c r="N104" i="75"/>
  <c r="L104" i="75"/>
  <c r="M104" i="75"/>
  <c r="O104" i="75"/>
  <c r="P104" i="75"/>
  <c r="Q104" i="75"/>
  <c r="L105" i="75"/>
  <c r="M105" i="75"/>
  <c r="N105" i="75"/>
  <c r="O105" i="75"/>
  <c r="P105" i="75"/>
  <c r="Q105" i="75"/>
  <c r="K104" i="75"/>
  <c r="K105" i="75"/>
  <c r="J104" i="75"/>
  <c r="J105" i="75"/>
  <c r="I104" i="75"/>
  <c r="I105" i="75"/>
  <c r="H104" i="75"/>
  <c r="H105" i="75"/>
  <c r="G104" i="75"/>
  <c r="G105" i="75"/>
  <c r="F104" i="75"/>
  <c r="F105" i="75"/>
  <c r="F85" i="75"/>
  <c r="E104" i="75"/>
  <c r="E105" i="75"/>
  <c r="D104" i="75"/>
  <c r="D105" i="75"/>
  <c r="C104" i="75"/>
  <c r="C105" i="75"/>
  <c r="Q86" i="75"/>
  <c r="P86" i="75"/>
  <c r="O86" i="75"/>
  <c r="M86" i="75"/>
  <c r="L86" i="75"/>
  <c r="K86" i="75"/>
  <c r="J86" i="75"/>
  <c r="I86" i="75"/>
  <c r="H86" i="75"/>
  <c r="G86" i="75"/>
  <c r="F86" i="75"/>
  <c r="E86" i="75"/>
  <c r="D86" i="75"/>
  <c r="C86" i="75"/>
  <c r="B86" i="75"/>
  <c r="Q85" i="75"/>
  <c r="P85" i="75"/>
  <c r="O85" i="75"/>
  <c r="N85" i="75"/>
  <c r="M85" i="75"/>
  <c r="L85" i="75"/>
  <c r="K85" i="75"/>
  <c r="J85" i="75"/>
  <c r="I85" i="75"/>
  <c r="H85" i="75"/>
  <c r="G85" i="75"/>
  <c r="E85" i="75"/>
  <c r="D85" i="75"/>
  <c r="B85" i="75"/>
  <c r="B104" i="75"/>
  <c r="B105" i="75"/>
  <c r="F121" i="75"/>
  <c r="C121" i="75"/>
  <c r="F120" i="75"/>
  <c r="C120" i="75"/>
  <c r="F119" i="75"/>
  <c r="C119" i="75"/>
  <c r="L118" i="75"/>
  <c r="L117" i="75"/>
  <c r="L116" i="75"/>
  <c r="L115" i="75"/>
  <c r="L121" i="75" s="1"/>
  <c r="Q103" i="75"/>
  <c r="P103" i="75"/>
  <c r="O103" i="75"/>
  <c r="M103" i="75"/>
  <c r="L103" i="75"/>
  <c r="K103" i="75"/>
  <c r="J103" i="75"/>
  <c r="I103" i="75"/>
  <c r="H103" i="75"/>
  <c r="G103" i="75"/>
  <c r="F103" i="75"/>
  <c r="E103" i="75"/>
  <c r="T103" i="75" s="1"/>
  <c r="D103" i="75"/>
  <c r="C103" i="75"/>
  <c r="B103" i="75"/>
  <c r="Q102" i="75"/>
  <c r="P102" i="75"/>
  <c r="O102" i="75"/>
  <c r="M102" i="75"/>
  <c r="L102" i="75"/>
  <c r="K102" i="75"/>
  <c r="J102" i="75"/>
  <c r="I102" i="75"/>
  <c r="H102" i="75"/>
  <c r="G102" i="75"/>
  <c r="F102" i="75"/>
  <c r="E102" i="75"/>
  <c r="D102" i="75"/>
  <c r="C102" i="75"/>
  <c r="B102" i="75"/>
  <c r="Q101" i="75"/>
  <c r="P101" i="75"/>
  <c r="O101" i="75"/>
  <c r="M101" i="75"/>
  <c r="L101" i="75"/>
  <c r="K101" i="75"/>
  <c r="J101" i="75"/>
  <c r="I101" i="75"/>
  <c r="H101" i="75"/>
  <c r="G101" i="75"/>
  <c r="F101" i="75"/>
  <c r="E101" i="75"/>
  <c r="D101" i="75"/>
  <c r="C101" i="75"/>
  <c r="B101" i="75"/>
  <c r="Q100" i="75"/>
  <c r="P100" i="75"/>
  <c r="O100" i="75"/>
  <c r="M100" i="75"/>
  <c r="L100" i="75"/>
  <c r="K100" i="75"/>
  <c r="J100" i="75"/>
  <c r="I100" i="75"/>
  <c r="H100" i="75"/>
  <c r="G100" i="75"/>
  <c r="F100" i="75"/>
  <c r="E100" i="75"/>
  <c r="D100" i="75"/>
  <c r="C100" i="75"/>
  <c r="B100" i="75"/>
  <c r="Q99" i="75"/>
  <c r="P99" i="75"/>
  <c r="O99" i="75"/>
  <c r="M99" i="75"/>
  <c r="L99" i="75"/>
  <c r="K99" i="75"/>
  <c r="J99" i="75"/>
  <c r="I99" i="75"/>
  <c r="H99" i="75"/>
  <c r="G99" i="75"/>
  <c r="F99" i="75"/>
  <c r="E99" i="75"/>
  <c r="D99" i="75"/>
  <c r="C99" i="75"/>
  <c r="B99" i="75"/>
  <c r="Q98" i="75"/>
  <c r="P98" i="75"/>
  <c r="O98" i="75"/>
  <c r="M98" i="75"/>
  <c r="L98" i="75"/>
  <c r="K98" i="75"/>
  <c r="J98" i="75"/>
  <c r="I98" i="75"/>
  <c r="H98" i="75"/>
  <c r="G98" i="75"/>
  <c r="F98" i="75"/>
  <c r="E98" i="75"/>
  <c r="D98" i="75"/>
  <c r="C98" i="75"/>
  <c r="B98" i="75"/>
  <c r="Q97" i="75"/>
  <c r="P97" i="75"/>
  <c r="O97" i="75"/>
  <c r="M97" i="75"/>
  <c r="L97" i="75"/>
  <c r="K97" i="75"/>
  <c r="J97" i="75"/>
  <c r="I97" i="75"/>
  <c r="H97" i="75"/>
  <c r="G97" i="75"/>
  <c r="F97" i="75"/>
  <c r="E97" i="75"/>
  <c r="D97" i="75"/>
  <c r="C97" i="75"/>
  <c r="B97" i="75"/>
  <c r="Q96" i="75"/>
  <c r="P96" i="75"/>
  <c r="O96" i="75"/>
  <c r="M96" i="75"/>
  <c r="L96" i="75"/>
  <c r="K96" i="75"/>
  <c r="J96" i="75"/>
  <c r="I96" i="75"/>
  <c r="H96" i="75"/>
  <c r="G96" i="75"/>
  <c r="F96" i="75"/>
  <c r="E96" i="75"/>
  <c r="D96" i="75"/>
  <c r="C96" i="75"/>
  <c r="B96" i="75"/>
  <c r="Q95" i="75"/>
  <c r="P95" i="75"/>
  <c r="O95" i="75"/>
  <c r="M95" i="75"/>
  <c r="L95" i="75"/>
  <c r="K95" i="75"/>
  <c r="J95" i="75"/>
  <c r="I95" i="75"/>
  <c r="H95" i="75"/>
  <c r="G95" i="75"/>
  <c r="F95" i="75"/>
  <c r="E95" i="75"/>
  <c r="D95" i="75"/>
  <c r="C95" i="75"/>
  <c r="B95" i="75"/>
  <c r="Q94" i="75"/>
  <c r="P94" i="75"/>
  <c r="O94" i="75"/>
  <c r="N94" i="75"/>
  <c r="M94" i="75"/>
  <c r="L94" i="75"/>
  <c r="K94" i="75"/>
  <c r="J94" i="75"/>
  <c r="I94" i="75"/>
  <c r="H94" i="75"/>
  <c r="G94" i="75"/>
  <c r="F94" i="75"/>
  <c r="E94" i="75"/>
  <c r="D94" i="75"/>
  <c r="C94" i="75"/>
  <c r="B94" i="75"/>
  <c r="Q93" i="75"/>
  <c r="P93" i="75"/>
  <c r="O93" i="75"/>
  <c r="N93" i="75"/>
  <c r="M93" i="75"/>
  <c r="L93" i="75"/>
  <c r="K93" i="75"/>
  <c r="J93" i="75"/>
  <c r="I93" i="75"/>
  <c r="H93" i="75"/>
  <c r="G93" i="75"/>
  <c r="F93" i="75"/>
  <c r="E93" i="75"/>
  <c r="D93" i="75"/>
  <c r="C93" i="75"/>
  <c r="B93" i="75"/>
  <c r="Q92" i="75"/>
  <c r="P92" i="75"/>
  <c r="O92" i="75"/>
  <c r="N92" i="75"/>
  <c r="M92" i="75"/>
  <c r="L92" i="75"/>
  <c r="K92" i="75"/>
  <c r="J92" i="75"/>
  <c r="I92" i="75"/>
  <c r="H92" i="75"/>
  <c r="G92" i="75"/>
  <c r="F92" i="75"/>
  <c r="E92" i="75"/>
  <c r="D92" i="75"/>
  <c r="C92" i="75"/>
  <c r="B92" i="75"/>
  <c r="Q91" i="75"/>
  <c r="P91" i="75"/>
  <c r="O91" i="75"/>
  <c r="N91" i="75"/>
  <c r="M91" i="75"/>
  <c r="L91" i="75"/>
  <c r="K91" i="75"/>
  <c r="J91" i="75"/>
  <c r="I91" i="75"/>
  <c r="H91" i="75"/>
  <c r="G91" i="75"/>
  <c r="F91" i="75"/>
  <c r="E91" i="75"/>
  <c r="D91" i="75"/>
  <c r="C91" i="75"/>
  <c r="B91" i="75"/>
  <c r="R80" i="75"/>
  <c r="R79" i="75"/>
  <c r="R78" i="75"/>
  <c r="R77" i="75"/>
  <c r="R76" i="75"/>
  <c r="R75" i="75"/>
  <c r="R74" i="75"/>
  <c r="R73" i="75"/>
  <c r="R72" i="75"/>
  <c r="R71" i="75"/>
  <c r="R70" i="75"/>
  <c r="R69" i="75"/>
  <c r="R68" i="75"/>
  <c r="R64" i="75"/>
  <c r="D64" i="75"/>
  <c r="C64" i="75"/>
  <c r="R63" i="75"/>
  <c r="D63" i="75"/>
  <c r="C63" i="75"/>
  <c r="R62" i="75"/>
  <c r="D62" i="75"/>
  <c r="C62" i="75"/>
  <c r="R61" i="75"/>
  <c r="D61" i="75"/>
  <c r="C61" i="75"/>
  <c r="R60" i="75"/>
  <c r="D60" i="75"/>
  <c r="C60" i="75"/>
  <c r="AA59" i="75"/>
  <c r="R59" i="75"/>
  <c r="D59" i="75"/>
  <c r="C59" i="75"/>
  <c r="AA58" i="75"/>
  <c r="R58" i="75"/>
  <c r="D58" i="75"/>
  <c r="C58" i="75"/>
  <c r="AA57" i="75"/>
  <c r="R57" i="75"/>
  <c r="D57" i="75"/>
  <c r="C57" i="75"/>
  <c r="AA56" i="75"/>
  <c r="R56" i="75"/>
  <c r="D56" i="75"/>
  <c r="C56" i="75"/>
  <c r="AA55" i="75"/>
  <c r="R55" i="75"/>
  <c r="D55" i="75"/>
  <c r="C55" i="75"/>
  <c r="AA54" i="75"/>
  <c r="R54" i="75"/>
  <c r="D54" i="75"/>
  <c r="C54" i="75"/>
  <c r="AA53" i="75"/>
  <c r="R53" i="75"/>
  <c r="D53" i="75"/>
  <c r="C53" i="75"/>
  <c r="AA52" i="75"/>
  <c r="R52" i="75"/>
  <c r="D52" i="75"/>
  <c r="C52" i="75"/>
  <c r="AA51" i="75"/>
  <c r="R51" i="75"/>
  <c r="D51" i="75"/>
  <c r="C51" i="75"/>
  <c r="AA50" i="75"/>
  <c r="R50" i="75"/>
  <c r="D50" i="75"/>
  <c r="C50" i="75"/>
  <c r="AA49" i="75"/>
  <c r="R49" i="75"/>
  <c r="D49" i="75"/>
  <c r="C49" i="75"/>
  <c r="R42" i="75"/>
  <c r="R41" i="75"/>
  <c r="N40" i="75"/>
  <c r="N39" i="75"/>
  <c r="N102" i="75" s="1"/>
  <c r="N38" i="75"/>
  <c r="R38" i="75" s="1"/>
  <c r="N37" i="75"/>
  <c r="N100" i="75" s="1"/>
  <c r="N36" i="75"/>
  <c r="R36" i="75" s="1"/>
  <c r="N35" i="75"/>
  <c r="N98" i="75" s="1"/>
  <c r="N34" i="75"/>
  <c r="R34" i="75" s="1"/>
  <c r="R97" i="75" s="1"/>
  <c r="N33" i="75"/>
  <c r="N96" i="75" s="1"/>
  <c r="N32" i="75"/>
  <c r="R32" i="75" s="1"/>
  <c r="R31" i="75"/>
  <c r="R94" i="75" s="1"/>
  <c r="R30" i="75"/>
  <c r="R93" i="75" s="1"/>
  <c r="R29" i="75"/>
  <c r="R28" i="75"/>
  <c r="C65" i="75" l="1"/>
  <c r="R91" i="75"/>
  <c r="R95" i="75"/>
  <c r="D65" i="75"/>
  <c r="L119" i="75"/>
  <c r="U105" i="75"/>
  <c r="T104" i="75"/>
  <c r="R92" i="75"/>
  <c r="T100" i="75"/>
  <c r="T102" i="75"/>
  <c r="U104" i="75"/>
  <c r="T105" i="75"/>
  <c r="T99" i="75"/>
  <c r="U100" i="75"/>
  <c r="T101" i="75"/>
  <c r="U102" i="75"/>
  <c r="R104" i="75"/>
  <c r="L120" i="75"/>
  <c r="R87" i="75"/>
  <c r="R99" i="75"/>
  <c r="R101" i="75"/>
  <c r="R85" i="75"/>
  <c r="R86" i="75"/>
  <c r="R105" i="75"/>
  <c r="N86" i="75"/>
  <c r="C85" i="75"/>
  <c r="N95" i="75"/>
  <c r="N97" i="75"/>
  <c r="N99" i="75"/>
  <c r="U99" i="75" s="1"/>
  <c r="N101" i="75"/>
  <c r="U101" i="75" s="1"/>
  <c r="N103" i="75"/>
  <c r="U103" i="75" s="1"/>
  <c r="R33" i="75"/>
  <c r="R96" i="75" s="1"/>
  <c r="R35" i="75"/>
  <c r="R37" i="75"/>
  <c r="R100" i="75" s="1"/>
  <c r="R39" i="75"/>
  <c r="R102" i="75" s="1"/>
  <c r="R40" i="75"/>
  <c r="R98" i="75" l="1"/>
  <c r="R103" i="75"/>
  <c r="B394" i="21" l="1"/>
  <c r="B380" i="21"/>
  <c r="B379" i="21"/>
  <c r="B390" i="21"/>
  <c r="B386" i="21"/>
  <c r="B375" i="21"/>
  <c r="C40" i="74" l="1"/>
  <c r="C22" i="74" s="1"/>
  <c r="K33" i="74"/>
  <c r="C33" i="74"/>
  <c r="M33" i="74" s="1"/>
  <c r="K31" i="74"/>
  <c r="K29" i="74"/>
  <c r="C29" i="74"/>
  <c r="M29" i="74" s="1"/>
  <c r="K27" i="74"/>
  <c r="C27" i="74"/>
  <c r="M27" i="74" s="1"/>
  <c r="K25" i="74"/>
  <c r="C25" i="74"/>
  <c r="M25" i="74" s="1"/>
  <c r="J23" i="74"/>
  <c r="I23" i="74"/>
  <c r="H23" i="74"/>
  <c r="G23" i="74"/>
  <c r="F23" i="74"/>
  <c r="E23" i="74"/>
  <c r="D23" i="74"/>
  <c r="K22" i="74"/>
  <c r="K21" i="74"/>
  <c r="K20" i="74"/>
  <c r="K19" i="74"/>
  <c r="J16" i="74"/>
  <c r="J35" i="74" s="1"/>
  <c r="I16" i="74"/>
  <c r="H16" i="74"/>
  <c r="G16" i="74"/>
  <c r="F16" i="74"/>
  <c r="F35" i="74" s="1"/>
  <c r="E16" i="74"/>
  <c r="D16" i="74"/>
  <c r="K14" i="74"/>
  <c r="C14" i="74"/>
  <c r="M14" i="74" s="1"/>
  <c r="K15" i="74"/>
  <c r="C15" i="74"/>
  <c r="M15" i="74" s="1"/>
  <c r="K13" i="74"/>
  <c r="C13" i="74"/>
  <c r="M13" i="74" s="1"/>
  <c r="K12" i="74"/>
  <c r="C12" i="74"/>
  <c r="M12" i="74" s="1"/>
  <c r="K11" i="74"/>
  <c r="C11" i="74"/>
  <c r="M11" i="74" s="1"/>
  <c r="K10" i="74"/>
  <c r="C10" i="74"/>
  <c r="M10" i="74" s="1"/>
  <c r="K9" i="74"/>
  <c r="C9" i="74"/>
  <c r="M9" i="74" s="1"/>
  <c r="K8" i="74"/>
  <c r="C8" i="74"/>
  <c r="M8" i="74" s="1"/>
  <c r="G35" i="74" l="1"/>
  <c r="D35" i="74"/>
  <c r="K35" i="74" s="1"/>
  <c r="H35" i="74"/>
  <c r="H36" i="74" s="1"/>
  <c r="C31" i="74"/>
  <c r="M31" i="74" s="1"/>
  <c r="E35" i="74"/>
  <c r="I35" i="74"/>
  <c r="I36" i="74" s="1"/>
  <c r="M22" i="74"/>
  <c r="K23" i="74"/>
  <c r="C16" i="74"/>
  <c r="K16" i="74"/>
  <c r="C19" i="74"/>
  <c r="C20" i="74"/>
  <c r="M20" i="74" s="1"/>
  <c r="C21" i="74"/>
  <c r="M21" i="74" s="1"/>
  <c r="L8" i="74" l="1"/>
  <c r="L21" i="74"/>
  <c r="L20" i="74"/>
  <c r="L23" i="74"/>
  <c r="E36" i="74"/>
  <c r="L16" i="74"/>
  <c r="L19" i="74"/>
  <c r="G36" i="74"/>
  <c r="L22" i="74"/>
  <c r="J36" i="74"/>
  <c r="F36" i="74"/>
  <c r="K36" i="74" s="1"/>
  <c r="D36" i="74"/>
  <c r="C23" i="74"/>
  <c r="M23" i="74" s="1"/>
  <c r="M19" i="74"/>
  <c r="C35" i="74"/>
  <c r="M16" i="74"/>
  <c r="L33" i="74"/>
  <c r="L31" i="74"/>
  <c r="L29" i="74"/>
  <c r="L27" i="74"/>
  <c r="L25" i="74"/>
  <c r="L14" i="74"/>
  <c r="L15" i="74"/>
  <c r="L13" i="74"/>
  <c r="L12" i="74"/>
  <c r="L11" i="74"/>
  <c r="L10" i="74"/>
  <c r="L9" i="74"/>
  <c r="M35" i="74" l="1"/>
  <c r="AB109" i="26" l="1"/>
  <c r="Z109" i="26"/>
  <c r="X109" i="26"/>
  <c r="V109" i="26"/>
  <c r="T109" i="26"/>
  <c r="AB97" i="26"/>
  <c r="Z97" i="26"/>
  <c r="X97" i="26"/>
  <c r="V97" i="26"/>
  <c r="T97" i="26"/>
  <c r="AB25" i="26"/>
  <c r="Z25" i="26"/>
  <c r="X25" i="26"/>
  <c r="V25" i="26"/>
  <c r="T25" i="26"/>
  <c r="AD191" i="31"/>
  <c r="AB191" i="31"/>
  <c r="Z191" i="31"/>
  <c r="X191" i="31"/>
  <c r="V191" i="31"/>
  <c r="AD180" i="31"/>
  <c r="AB180" i="31"/>
  <c r="Z180" i="31"/>
  <c r="X180" i="31"/>
  <c r="V180" i="31"/>
  <c r="T180" i="31"/>
  <c r="AD169" i="31"/>
  <c r="AB169" i="31"/>
  <c r="Z169" i="31"/>
  <c r="X169" i="31"/>
  <c r="V169" i="31"/>
  <c r="T169" i="31"/>
  <c r="AD158" i="31"/>
  <c r="AB158" i="31"/>
  <c r="Z158" i="31"/>
  <c r="X158" i="31"/>
  <c r="V158" i="31"/>
  <c r="T158" i="31"/>
  <c r="AD147" i="31"/>
  <c r="AB147" i="31"/>
  <c r="Z147" i="31"/>
  <c r="X147" i="31"/>
  <c r="V147" i="31"/>
  <c r="T147" i="31"/>
  <c r="AD136" i="31"/>
  <c r="AB136" i="31"/>
  <c r="Z136" i="31"/>
  <c r="X136" i="31"/>
  <c r="V136" i="31"/>
  <c r="T136" i="31"/>
  <c r="AD125" i="31"/>
  <c r="AB125" i="31"/>
  <c r="Z125" i="31"/>
  <c r="X125" i="31"/>
  <c r="V125" i="31"/>
  <c r="T125" i="31"/>
  <c r="AD114" i="31"/>
  <c r="AB114" i="31"/>
  <c r="Z114" i="31"/>
  <c r="X114" i="31"/>
  <c r="V114" i="31"/>
  <c r="T114" i="31"/>
  <c r="AD103" i="31"/>
  <c r="AB103" i="31"/>
  <c r="Z103" i="31"/>
  <c r="X103" i="31"/>
  <c r="V103" i="31"/>
  <c r="T103" i="31"/>
  <c r="AD92" i="31"/>
  <c r="AB92" i="31"/>
  <c r="Z92" i="31"/>
  <c r="X92" i="31"/>
  <c r="V92" i="31"/>
  <c r="T92" i="31"/>
  <c r="AD81" i="31"/>
  <c r="AB81" i="31"/>
  <c r="Z81" i="31"/>
  <c r="X81" i="31"/>
  <c r="V81" i="31"/>
  <c r="T81" i="31"/>
  <c r="AD70" i="31"/>
  <c r="AB70" i="31"/>
  <c r="Z70" i="31"/>
  <c r="X70" i="31"/>
  <c r="V70" i="31"/>
  <c r="T70" i="31"/>
  <c r="AD59" i="31"/>
  <c r="AB59" i="31"/>
  <c r="Z59" i="31"/>
  <c r="X59" i="31"/>
  <c r="V59" i="31"/>
  <c r="T59" i="31"/>
  <c r="AD48" i="31"/>
  <c r="AB48" i="31"/>
  <c r="Z48" i="31"/>
  <c r="X48" i="31"/>
  <c r="V48" i="31"/>
  <c r="T48" i="31"/>
  <c r="AD37" i="31"/>
  <c r="AB37" i="31"/>
  <c r="Z37" i="31"/>
  <c r="X37" i="31"/>
  <c r="V37" i="31"/>
  <c r="T37" i="31"/>
  <c r="AD26" i="31"/>
  <c r="AB26" i="31"/>
  <c r="Z26" i="31"/>
  <c r="X26" i="31"/>
  <c r="V26" i="31"/>
  <c r="T26" i="31"/>
  <c r="AB181" i="26" l="1"/>
  <c r="AB179" i="26"/>
  <c r="Z181" i="26"/>
  <c r="Z179" i="26"/>
  <c r="X181" i="26"/>
  <c r="X179" i="26"/>
  <c r="V181" i="26"/>
  <c r="V179" i="26"/>
  <c r="T181" i="26"/>
  <c r="T179" i="26"/>
  <c r="AB169" i="26"/>
  <c r="AB167" i="26"/>
  <c r="Z169" i="26"/>
  <c r="Z167" i="26"/>
  <c r="X169" i="26"/>
  <c r="X167" i="26"/>
  <c r="V169" i="26"/>
  <c r="V167" i="26"/>
  <c r="T169" i="26"/>
  <c r="T167" i="26"/>
  <c r="AB157" i="26"/>
  <c r="Z157" i="26"/>
  <c r="X157" i="26"/>
  <c r="V157" i="26"/>
  <c r="T157" i="26"/>
  <c r="AB155" i="26"/>
  <c r="Z155" i="26"/>
  <c r="X155" i="26"/>
  <c r="V155" i="26"/>
  <c r="T155" i="26"/>
  <c r="AB145" i="26"/>
  <c r="AB143" i="26"/>
  <c r="Z145" i="26"/>
  <c r="Z143" i="26"/>
  <c r="X145" i="26"/>
  <c r="X143" i="26"/>
  <c r="V145" i="26"/>
  <c r="V143" i="26"/>
  <c r="T145" i="26"/>
  <c r="T143" i="26"/>
  <c r="AB133" i="26"/>
  <c r="AB131" i="26"/>
  <c r="Z133" i="26"/>
  <c r="Z131" i="26"/>
  <c r="X133" i="26"/>
  <c r="X131" i="26"/>
  <c r="V133" i="26"/>
  <c r="V131" i="26"/>
  <c r="T133" i="26"/>
  <c r="T131" i="26"/>
  <c r="AB121" i="26"/>
  <c r="AB119" i="26"/>
  <c r="Z121" i="26"/>
  <c r="Z119" i="26"/>
  <c r="X121" i="26"/>
  <c r="X119" i="26"/>
  <c r="V121" i="26"/>
  <c r="V119" i="26"/>
  <c r="T121" i="26"/>
  <c r="T119" i="26"/>
  <c r="AB107" i="26"/>
  <c r="Z107" i="26"/>
  <c r="X107" i="26"/>
  <c r="V107" i="26"/>
  <c r="T107" i="26"/>
  <c r="AB95" i="26"/>
  <c r="Z95" i="26"/>
  <c r="X95" i="26"/>
  <c r="V95" i="26"/>
  <c r="T95" i="26"/>
  <c r="T83" i="26"/>
  <c r="T85" i="26"/>
  <c r="AB85" i="26"/>
  <c r="AB83" i="26"/>
  <c r="Z85" i="26"/>
  <c r="Z83" i="26"/>
  <c r="X85" i="26"/>
  <c r="X83" i="26"/>
  <c r="V85" i="26"/>
  <c r="V83" i="26"/>
  <c r="AB73" i="26"/>
  <c r="AB71" i="26"/>
  <c r="Z73" i="26"/>
  <c r="Z71" i="26"/>
  <c r="X73" i="26"/>
  <c r="X71" i="26"/>
  <c r="V73" i="26"/>
  <c r="V71" i="26"/>
  <c r="T73" i="26"/>
  <c r="T71" i="26"/>
  <c r="AB61" i="26"/>
  <c r="AB59" i="26"/>
  <c r="Z61" i="26"/>
  <c r="Z59" i="26"/>
  <c r="X61" i="26"/>
  <c r="X59" i="26"/>
  <c r="V61" i="26"/>
  <c r="V59" i="26"/>
  <c r="T61" i="26"/>
  <c r="T59" i="26"/>
  <c r="AB49" i="26"/>
  <c r="AB47" i="26"/>
  <c r="Z49" i="26"/>
  <c r="Z47" i="26"/>
  <c r="X49" i="26"/>
  <c r="X47" i="26"/>
  <c r="V49" i="26"/>
  <c r="V47" i="26"/>
  <c r="T49" i="26"/>
  <c r="T47" i="26"/>
  <c r="AB37" i="26"/>
  <c r="AB35" i="26"/>
  <c r="Z37" i="26"/>
  <c r="Z35" i="26"/>
  <c r="X37" i="26"/>
  <c r="X35" i="26"/>
  <c r="V37" i="26"/>
  <c r="V35" i="26"/>
  <c r="T37" i="26"/>
  <c r="T35" i="26"/>
  <c r="AB23" i="26"/>
  <c r="Z23" i="26"/>
  <c r="X23" i="26"/>
  <c r="V23" i="26"/>
  <c r="T23" i="26"/>
  <c r="L89" i="58" l="1"/>
  <c r="B89" i="58"/>
  <c r="L37" i="72" l="1"/>
  <c r="L36" i="72"/>
  <c r="L35" i="72"/>
  <c r="C37" i="72"/>
  <c r="C36" i="72"/>
  <c r="C35" i="72"/>
  <c r="L22" i="72"/>
  <c r="C22" i="72"/>
  <c r="E77" i="84" s="1"/>
  <c r="G77" i="84" s="1"/>
  <c r="L16" i="72"/>
  <c r="C16" i="72"/>
  <c r="E50" i="84" s="1"/>
  <c r="G50" i="84" s="1"/>
  <c r="C47" i="76"/>
  <c r="M32" i="72"/>
  <c r="C70" i="76" s="1"/>
  <c r="M30" i="72"/>
  <c r="C72" i="76" s="1"/>
  <c r="M28" i="72"/>
  <c r="C66" i="76" s="1"/>
  <c r="M26" i="72"/>
  <c r="C68" i="76" s="1"/>
  <c r="M24" i="72"/>
  <c r="C64" i="76" s="1"/>
  <c r="M21" i="72"/>
  <c r="C60" i="76" s="1"/>
  <c r="M20" i="72"/>
  <c r="C61" i="76" s="1"/>
  <c r="M19" i="72"/>
  <c r="C59" i="76" s="1"/>
  <c r="M18" i="72"/>
  <c r="C58" i="76" s="1"/>
  <c r="M14" i="72"/>
  <c r="C53" i="76" s="1"/>
  <c r="M13" i="72"/>
  <c r="C52" i="76" s="1"/>
  <c r="M12" i="72"/>
  <c r="C51" i="76" s="1"/>
  <c r="M11" i="72"/>
  <c r="C50" i="76" s="1"/>
  <c r="M10" i="72"/>
  <c r="C49" i="76" s="1"/>
  <c r="C48" i="76"/>
  <c r="D32" i="72"/>
  <c r="C31" i="76" s="1"/>
  <c r="D30" i="72"/>
  <c r="C33" i="76" s="1"/>
  <c r="D28" i="72"/>
  <c r="C27" i="76" s="1"/>
  <c r="D26" i="72"/>
  <c r="C29" i="76" s="1"/>
  <c r="D24" i="72"/>
  <c r="C25" i="76" s="1"/>
  <c r="D21" i="72"/>
  <c r="C21" i="76" s="1"/>
  <c r="D20" i="72"/>
  <c r="C22" i="76" s="1"/>
  <c r="D19" i="72"/>
  <c r="C20" i="76" s="1"/>
  <c r="D18" i="72"/>
  <c r="C19" i="76" s="1"/>
  <c r="D14" i="72"/>
  <c r="C14" i="76" s="1"/>
  <c r="D13" i="72"/>
  <c r="C13" i="76" s="1"/>
  <c r="D12" i="72"/>
  <c r="C12" i="76" s="1"/>
  <c r="D11" i="72"/>
  <c r="C11" i="76" s="1"/>
  <c r="D10" i="72"/>
  <c r="C10" i="76" s="1"/>
  <c r="D9" i="72"/>
  <c r="C9" i="76" s="1"/>
  <c r="D8" i="72"/>
  <c r="C8" i="76" s="1"/>
  <c r="L33" i="72" l="1"/>
  <c r="C33" i="72"/>
  <c r="C23" i="76"/>
  <c r="C62" i="76"/>
  <c r="C55" i="76"/>
  <c r="C16" i="76"/>
  <c r="D16" i="72"/>
  <c r="M36" i="72"/>
  <c r="M22" i="72"/>
  <c r="D36" i="72"/>
  <c r="D22" i="72"/>
  <c r="D37" i="72"/>
  <c r="M35" i="72"/>
  <c r="M37" i="72"/>
  <c r="D35" i="72"/>
  <c r="M16" i="72"/>
  <c r="Q15" i="72"/>
  <c r="W21" i="73"/>
  <c r="I51" i="76" s="1"/>
  <c r="W15" i="73"/>
  <c r="I49" i="76" s="1"/>
  <c r="H15" i="72"/>
  <c r="L55" i="66"/>
  <c r="W21" i="70"/>
  <c r="I12" i="76" s="1"/>
  <c r="W15" i="70"/>
  <c r="I10" i="76" s="1"/>
  <c r="N15" i="72"/>
  <c r="Q23" i="92" s="1"/>
  <c r="Q22" i="92" s="1"/>
  <c r="N32" i="72"/>
  <c r="N30" i="72"/>
  <c r="N28" i="72"/>
  <c r="N26" i="72"/>
  <c r="N24" i="72"/>
  <c r="N21" i="72"/>
  <c r="N20" i="72"/>
  <c r="N19" i="72"/>
  <c r="N18" i="72"/>
  <c r="N14" i="72"/>
  <c r="N13" i="72"/>
  <c r="N12" i="72"/>
  <c r="N11" i="72"/>
  <c r="N10" i="72"/>
  <c r="N9" i="72"/>
  <c r="N8" i="72"/>
  <c r="E15" i="72"/>
  <c r="E32" i="72"/>
  <c r="E30" i="72"/>
  <c r="E28" i="72"/>
  <c r="E26" i="72"/>
  <c r="E24" i="72"/>
  <c r="E21" i="72"/>
  <c r="E20" i="72"/>
  <c r="E19" i="72"/>
  <c r="E18" i="72"/>
  <c r="E14" i="72"/>
  <c r="E13" i="72"/>
  <c r="E12" i="72"/>
  <c r="E11" i="72"/>
  <c r="E10" i="72"/>
  <c r="E9" i="72"/>
  <c r="E8" i="72"/>
  <c r="P185" i="31"/>
  <c r="R185" i="31" s="1"/>
  <c r="V65" i="70" s="1"/>
  <c r="V66" i="70" s="1"/>
  <c r="I31" i="76" s="1"/>
  <c r="N185" i="31"/>
  <c r="P184" i="31"/>
  <c r="N184" i="31"/>
  <c r="R184" i="31" s="1"/>
  <c r="P174" i="31"/>
  <c r="R174" i="31" s="1"/>
  <c r="V61" i="70" s="1"/>
  <c r="N174" i="31"/>
  <c r="P173" i="31"/>
  <c r="N173" i="31"/>
  <c r="P168" i="31"/>
  <c r="R168" i="31" s="1"/>
  <c r="W57" i="73" s="1"/>
  <c r="N168" i="31"/>
  <c r="P167" i="31"/>
  <c r="N167" i="31"/>
  <c r="R167" i="31" s="1"/>
  <c r="P157" i="31"/>
  <c r="N157" i="31"/>
  <c r="P156" i="31"/>
  <c r="N156" i="31"/>
  <c r="P146" i="31"/>
  <c r="R146" i="31" s="1"/>
  <c r="N146" i="31"/>
  <c r="P145" i="31"/>
  <c r="N145" i="31"/>
  <c r="R145" i="31" s="1"/>
  <c r="P135" i="31"/>
  <c r="R135" i="31" s="1"/>
  <c r="W42" i="73" s="1"/>
  <c r="N135" i="31"/>
  <c r="P134" i="31"/>
  <c r="N134" i="31"/>
  <c r="R134" i="31" s="1"/>
  <c r="P124" i="31"/>
  <c r="R124" i="31" s="1"/>
  <c r="W39" i="73" s="1"/>
  <c r="W40" i="73" s="1"/>
  <c r="I61" i="76" s="1"/>
  <c r="N124" i="31"/>
  <c r="P123" i="31"/>
  <c r="N123" i="31"/>
  <c r="R123" i="31" s="1"/>
  <c r="P113" i="31"/>
  <c r="R113" i="31" s="1"/>
  <c r="W36" i="73" s="1"/>
  <c r="N113" i="31"/>
  <c r="P112" i="31"/>
  <c r="N112" i="31"/>
  <c r="R112" i="31" s="1"/>
  <c r="P102" i="31"/>
  <c r="R102" i="31" s="1"/>
  <c r="W33" i="70" s="1"/>
  <c r="N102" i="31"/>
  <c r="P101" i="31"/>
  <c r="N101" i="31"/>
  <c r="R101" i="31" s="1"/>
  <c r="P91" i="31"/>
  <c r="R91" i="31" s="1"/>
  <c r="W26" i="70" s="1"/>
  <c r="N91" i="31"/>
  <c r="P90" i="31"/>
  <c r="N90" i="31"/>
  <c r="R90" i="31" s="1"/>
  <c r="P80" i="31"/>
  <c r="R80" i="31" s="1"/>
  <c r="W23" i="73" s="1"/>
  <c r="N80" i="31"/>
  <c r="P79" i="31"/>
  <c r="N79" i="31"/>
  <c r="R79" i="31" s="1"/>
  <c r="P69" i="31"/>
  <c r="R69" i="31" s="1"/>
  <c r="N69" i="31"/>
  <c r="P68" i="31"/>
  <c r="N68" i="31"/>
  <c r="R68" i="31" s="1"/>
  <c r="P58" i="31"/>
  <c r="R58" i="31" s="1"/>
  <c r="W17" i="73" s="1"/>
  <c r="W18" i="73" s="1"/>
  <c r="I50" i="76" s="1"/>
  <c r="N58" i="31"/>
  <c r="P57" i="31"/>
  <c r="N57" i="31"/>
  <c r="R57" i="31" s="1"/>
  <c r="P47" i="31"/>
  <c r="R47" i="31" s="1"/>
  <c r="N47" i="31"/>
  <c r="P46" i="31"/>
  <c r="N46" i="31"/>
  <c r="R46" i="31" s="1"/>
  <c r="P36" i="31"/>
  <c r="R36" i="31" s="1"/>
  <c r="W11" i="70" s="1"/>
  <c r="W12" i="70" s="1"/>
  <c r="I9" i="76" s="1"/>
  <c r="N36" i="31"/>
  <c r="P35" i="31"/>
  <c r="N35" i="31"/>
  <c r="P25" i="31"/>
  <c r="R25" i="31" s="1"/>
  <c r="W8" i="70" s="1"/>
  <c r="N25" i="31"/>
  <c r="P24" i="31"/>
  <c r="N24" i="31"/>
  <c r="R24" i="31" s="1"/>
  <c r="N136" i="31"/>
  <c r="D33" i="72" l="1"/>
  <c r="W39" i="70"/>
  <c r="W40" i="70" s="1"/>
  <c r="I22" i="76" s="1"/>
  <c r="W11" i="73"/>
  <c r="W12" i="73" s="1"/>
  <c r="I48" i="76" s="1"/>
  <c r="W33" i="73"/>
  <c r="W45" i="73" s="1"/>
  <c r="W8" i="73"/>
  <c r="R35" i="31"/>
  <c r="W17" i="70"/>
  <c r="W18" i="70" s="1"/>
  <c r="I11" i="76" s="1"/>
  <c r="W36" i="70"/>
  <c r="W45" i="70" s="1"/>
  <c r="W42" i="70"/>
  <c r="W26" i="73"/>
  <c r="V65" i="73"/>
  <c r="V66" i="73" s="1"/>
  <c r="W23" i="70"/>
  <c r="W29" i="70" s="1"/>
  <c r="W57" i="70"/>
  <c r="I15" i="72"/>
  <c r="J38" i="84"/>
  <c r="J37" i="84" s="1"/>
  <c r="K37" i="84"/>
  <c r="N38" i="84"/>
  <c r="Q38" i="84"/>
  <c r="C35" i="76"/>
  <c r="N36" i="72"/>
  <c r="N22" i="72"/>
  <c r="N37" i="72"/>
  <c r="C74" i="76"/>
  <c r="E36" i="72"/>
  <c r="E22" i="72"/>
  <c r="E37" i="72"/>
  <c r="R173" i="31"/>
  <c r="V61" i="73"/>
  <c r="R15" i="72"/>
  <c r="V68" i="70"/>
  <c r="R156" i="31"/>
  <c r="R157" i="31"/>
  <c r="M33" i="72"/>
  <c r="E35" i="72"/>
  <c r="E16" i="72"/>
  <c r="N35" i="72"/>
  <c r="N16" i="72"/>
  <c r="T15" i="72"/>
  <c r="U15" i="72" s="1"/>
  <c r="W29" i="73"/>
  <c r="V68" i="73"/>
  <c r="P48" i="66"/>
  <c r="P82" i="66"/>
  <c r="N82" i="66"/>
  <c r="P81" i="66"/>
  <c r="N81" i="66"/>
  <c r="P80" i="66"/>
  <c r="N80" i="66"/>
  <c r="P74" i="66"/>
  <c r="R74" i="66" s="1"/>
  <c r="N74" i="66"/>
  <c r="P73" i="66"/>
  <c r="N73" i="66"/>
  <c r="R73" i="66" s="1"/>
  <c r="P72" i="66"/>
  <c r="R72" i="66" s="1"/>
  <c r="N72" i="66"/>
  <c r="P66" i="66"/>
  <c r="N66" i="66"/>
  <c r="P65" i="66"/>
  <c r="N65" i="66"/>
  <c r="P64" i="66"/>
  <c r="N64" i="66"/>
  <c r="P56" i="66"/>
  <c r="R56" i="66" s="1"/>
  <c r="N56" i="66"/>
  <c r="P55" i="66"/>
  <c r="N55" i="66"/>
  <c r="P54" i="66"/>
  <c r="R54" i="66" s="1"/>
  <c r="N54" i="66"/>
  <c r="N48" i="66"/>
  <c r="R48" i="66" s="1"/>
  <c r="P47" i="66"/>
  <c r="N47" i="66"/>
  <c r="P46" i="66"/>
  <c r="N46" i="66"/>
  <c r="P40" i="66"/>
  <c r="R40" i="66" s="1"/>
  <c r="N40" i="66"/>
  <c r="P39" i="66"/>
  <c r="N39" i="66"/>
  <c r="R39" i="66" s="1"/>
  <c r="P38" i="66"/>
  <c r="R38" i="66" s="1"/>
  <c r="N38" i="66"/>
  <c r="N191" i="31"/>
  <c r="R191" i="31" s="1"/>
  <c r="P186" i="31"/>
  <c r="N186" i="31"/>
  <c r="P175" i="31"/>
  <c r="N175" i="31"/>
  <c r="P169" i="31"/>
  <c r="N169" i="31"/>
  <c r="P158" i="31"/>
  <c r="N158" i="31"/>
  <c r="P147" i="31"/>
  <c r="N147" i="31"/>
  <c r="P136" i="31"/>
  <c r="P125" i="31"/>
  <c r="N125" i="31"/>
  <c r="P114" i="31"/>
  <c r="N114" i="31"/>
  <c r="P103" i="31"/>
  <c r="N103" i="31"/>
  <c r="P92" i="31"/>
  <c r="N92" i="31"/>
  <c r="P81" i="31"/>
  <c r="N81" i="31"/>
  <c r="P70" i="31"/>
  <c r="N70" i="31"/>
  <c r="P59" i="31"/>
  <c r="N59" i="31"/>
  <c r="P48" i="31"/>
  <c r="N48" i="31"/>
  <c r="P37" i="31"/>
  <c r="N37" i="31"/>
  <c r="P26" i="31"/>
  <c r="N26" i="31"/>
  <c r="T61" i="70" l="1"/>
  <c r="T61" i="73"/>
  <c r="T65" i="73"/>
  <c r="T65" i="70"/>
  <c r="R64" i="66"/>
  <c r="R80" i="66"/>
  <c r="R47" i="66"/>
  <c r="R65" i="66"/>
  <c r="R81" i="66"/>
  <c r="P23" i="92"/>
  <c r="P22" i="92" s="1"/>
  <c r="M38" i="84"/>
  <c r="I37" i="84"/>
  <c r="H38" i="84"/>
  <c r="H37" i="84" s="1"/>
  <c r="P38" i="84"/>
  <c r="R46" i="66"/>
  <c r="R55" i="66"/>
  <c r="R66" i="66"/>
  <c r="R82" i="66"/>
  <c r="S61" i="73"/>
  <c r="S61" i="70"/>
  <c r="U61" i="70"/>
  <c r="U61" i="73"/>
  <c r="N37" i="84"/>
  <c r="Q37" i="84"/>
  <c r="E33" i="72"/>
  <c r="N33" i="72"/>
  <c r="D8" i="71"/>
  <c r="C27" i="71" s="1"/>
  <c r="C50" i="71" s="1"/>
  <c r="W53" i="73"/>
  <c r="W54" i="73" s="1"/>
  <c r="I68" i="76" s="1"/>
  <c r="W53" i="70"/>
  <c r="W54" i="70" s="1"/>
  <c r="I29" i="76" s="1"/>
  <c r="P54" i="70"/>
  <c r="V62" i="70"/>
  <c r="P54" i="73"/>
  <c r="C51" i="71" l="1"/>
  <c r="C14" i="71"/>
  <c r="M37" i="84"/>
  <c r="P37" i="84"/>
  <c r="S65" i="70"/>
  <c r="S65" i="73"/>
  <c r="S68" i="73" s="1"/>
  <c r="S75" i="73" s="1"/>
  <c r="C52" i="71"/>
  <c r="H14" i="71"/>
  <c r="U68" i="73"/>
  <c r="U75" i="73" s="1"/>
  <c r="U65" i="73"/>
  <c r="U65" i="70"/>
  <c r="T68" i="73"/>
  <c r="T75" i="73" s="1"/>
  <c r="V69" i="70"/>
  <c r="I33" i="76"/>
  <c r="W68" i="73"/>
  <c r="W68" i="70"/>
  <c r="R54" i="73"/>
  <c r="G68" i="76" s="1"/>
  <c r="R66" i="70"/>
  <c r="R62" i="70"/>
  <c r="R54" i="70"/>
  <c r="G29" i="76" s="1"/>
  <c r="J25" i="71"/>
  <c r="E25" i="71"/>
  <c r="W50" i="70" l="1"/>
  <c r="I25" i="76" s="1"/>
  <c r="W37" i="70"/>
  <c r="I20" i="76" s="1"/>
  <c r="W24" i="70"/>
  <c r="I13" i="76" s="1"/>
  <c r="W27" i="70"/>
  <c r="I14" i="76" s="1"/>
  <c r="W58" i="70"/>
  <c r="I27" i="76" s="1"/>
  <c r="W43" i="70"/>
  <c r="I21" i="76" s="1"/>
  <c r="W9" i="70"/>
  <c r="I8" i="76" s="1"/>
  <c r="W34" i="70"/>
  <c r="H16" i="71"/>
  <c r="C18" i="71"/>
  <c r="C17" i="71"/>
  <c r="C23" i="71"/>
  <c r="C20" i="71"/>
  <c r="C16" i="71"/>
  <c r="H17" i="71"/>
  <c r="H21" i="71"/>
  <c r="H24" i="71"/>
  <c r="G57" i="71" s="1"/>
  <c r="G58" i="71" s="1"/>
  <c r="H57" i="71" s="1"/>
  <c r="H18" i="71"/>
  <c r="C24" i="71"/>
  <c r="B57" i="71" s="1"/>
  <c r="B58" i="71" s="1"/>
  <c r="C21" i="71"/>
  <c r="H23" i="71"/>
  <c r="H20" i="71"/>
  <c r="C57" i="71" l="1"/>
  <c r="C60" i="71"/>
  <c r="F60" i="71" s="1"/>
  <c r="X18" i="70" s="1"/>
  <c r="J11" i="76" s="1"/>
  <c r="C71" i="71"/>
  <c r="F71" i="71" s="1"/>
  <c r="X62" i="70" s="1"/>
  <c r="J33" i="76" s="1"/>
  <c r="C61" i="71"/>
  <c r="F61" i="71" s="1"/>
  <c r="X21" i="70" s="1"/>
  <c r="J12" i="76" s="1"/>
  <c r="C70" i="71"/>
  <c r="F70" i="71" s="1"/>
  <c r="X58" i="70" s="1"/>
  <c r="J27" i="76" s="1"/>
  <c r="C64" i="71"/>
  <c r="F64" i="71" s="1"/>
  <c r="X34" i="70" s="1"/>
  <c r="J19" i="76" s="1"/>
  <c r="C59" i="71"/>
  <c r="F59" i="71" s="1"/>
  <c r="X15" i="70" s="1"/>
  <c r="J10" i="76" s="1"/>
  <c r="C66" i="71"/>
  <c r="F66" i="71" s="1"/>
  <c r="X40" i="70" s="1"/>
  <c r="J22" i="76" s="1"/>
  <c r="C68" i="71"/>
  <c r="F68" i="71" s="1"/>
  <c r="X50" i="70" s="1"/>
  <c r="J25" i="76" s="1"/>
  <c r="C67" i="71"/>
  <c r="F67" i="71" s="1"/>
  <c r="X43" i="70" s="1"/>
  <c r="J21" i="76" s="1"/>
  <c r="C58" i="71"/>
  <c r="F58" i="71" s="1"/>
  <c r="X12" i="70" s="1"/>
  <c r="J9" i="76" s="1"/>
  <c r="C72" i="71"/>
  <c r="F72" i="71" s="1"/>
  <c r="X66" i="70" s="1"/>
  <c r="J31" i="76" s="1"/>
  <c r="C65" i="71"/>
  <c r="F65" i="71" s="1"/>
  <c r="X37" i="70" s="1"/>
  <c r="J20" i="76" s="1"/>
  <c r="C62" i="71"/>
  <c r="F62" i="71" s="1"/>
  <c r="X24" i="70" s="1"/>
  <c r="J13" i="76" s="1"/>
  <c r="C63" i="71"/>
  <c r="F63" i="71" s="1"/>
  <c r="X27" i="70" s="1"/>
  <c r="J14" i="76" s="1"/>
  <c r="C69" i="71"/>
  <c r="F69" i="71" s="1"/>
  <c r="X54" i="70" s="1"/>
  <c r="J29" i="76" s="1"/>
  <c r="I16" i="76"/>
  <c r="W46" i="70"/>
  <c r="I19" i="76"/>
  <c r="I23" i="76" s="1"/>
  <c r="H71" i="71"/>
  <c r="H69" i="71"/>
  <c r="H67" i="71"/>
  <c r="H65" i="71"/>
  <c r="H63" i="71"/>
  <c r="H61" i="71"/>
  <c r="H59" i="71"/>
  <c r="H72" i="71"/>
  <c r="H70" i="71"/>
  <c r="H68" i="71"/>
  <c r="H66" i="71"/>
  <c r="H64" i="71"/>
  <c r="H62" i="71"/>
  <c r="H60" i="71"/>
  <c r="H58" i="71"/>
  <c r="C25" i="71"/>
  <c r="H25" i="71"/>
  <c r="J23" i="76" l="1"/>
  <c r="F57" i="71"/>
  <c r="C73" i="71"/>
  <c r="I35" i="76"/>
  <c r="K62" i="71"/>
  <c r="X24" i="73" s="1"/>
  <c r="J52" i="76" s="1"/>
  <c r="K66" i="71"/>
  <c r="X40" i="73" s="1"/>
  <c r="J61" i="76" s="1"/>
  <c r="K70" i="71"/>
  <c r="X58" i="73" s="1"/>
  <c r="J66" i="76" s="1"/>
  <c r="K57" i="71"/>
  <c r="X9" i="73" s="1"/>
  <c r="J47" i="76" s="1"/>
  <c r="K61" i="71"/>
  <c r="X21" i="73" s="1"/>
  <c r="J51" i="76" s="1"/>
  <c r="K65" i="71"/>
  <c r="X37" i="73" s="1"/>
  <c r="J59" i="76" s="1"/>
  <c r="K69" i="71"/>
  <c r="X54" i="73" s="1"/>
  <c r="J68" i="76" s="1"/>
  <c r="K60" i="71"/>
  <c r="X18" i="73" s="1"/>
  <c r="J50" i="76" s="1"/>
  <c r="K64" i="71"/>
  <c r="X34" i="73" s="1"/>
  <c r="J58" i="76" s="1"/>
  <c r="K68" i="71"/>
  <c r="X50" i="73" s="1"/>
  <c r="J64" i="76" s="1"/>
  <c r="K72" i="71"/>
  <c r="X66" i="73" s="1"/>
  <c r="J70" i="76" s="1"/>
  <c r="K59" i="71"/>
  <c r="X15" i="73" s="1"/>
  <c r="J49" i="76" s="1"/>
  <c r="K63" i="71"/>
  <c r="X27" i="73" s="1"/>
  <c r="J53" i="76" s="1"/>
  <c r="K67" i="71"/>
  <c r="X43" i="73" s="1"/>
  <c r="J60" i="76" s="1"/>
  <c r="K71" i="71"/>
  <c r="X62" i="73" s="1"/>
  <c r="J72" i="76" s="1"/>
  <c r="H73" i="71"/>
  <c r="K58" i="71"/>
  <c r="H27" i="71"/>
  <c r="U66" i="70"/>
  <c r="T66" i="70"/>
  <c r="S66" i="70"/>
  <c r="H31" i="71" l="1"/>
  <c r="H36" i="71"/>
  <c r="X9" i="70"/>
  <c r="J8" i="76" s="1"/>
  <c r="J16" i="76" s="1"/>
  <c r="J35" i="76" s="1"/>
  <c r="F73" i="71"/>
  <c r="H31" i="76"/>
  <c r="J62" i="76"/>
  <c r="K73" i="71"/>
  <c r="X12" i="73"/>
  <c r="J48" i="76" s="1"/>
  <c r="J55" i="76" s="1"/>
  <c r="H46" i="71"/>
  <c r="H54" i="71"/>
  <c r="V62" i="73" s="1"/>
  <c r="I72" i="76" s="1"/>
  <c r="H30" i="71"/>
  <c r="H45" i="71"/>
  <c r="H33" i="71"/>
  <c r="H40" i="71"/>
  <c r="H52" i="71"/>
  <c r="U62" i="73" s="1"/>
  <c r="H42" i="71"/>
  <c r="H47" i="71"/>
  <c r="H34" i="71"/>
  <c r="H41" i="71"/>
  <c r="H50" i="71"/>
  <c r="S66" i="73" s="1"/>
  <c r="H55" i="71"/>
  <c r="H32" i="71"/>
  <c r="H44" i="71"/>
  <c r="H48" i="71"/>
  <c r="H51" i="71"/>
  <c r="T62" i="73" s="1"/>
  <c r="T62" i="70"/>
  <c r="S62" i="70"/>
  <c r="J74" i="76" l="1"/>
  <c r="S69" i="70"/>
  <c r="S62" i="73"/>
  <c r="H72" i="76" s="1"/>
  <c r="U66" i="73"/>
  <c r="U69" i="73" s="1"/>
  <c r="W58" i="73"/>
  <c r="I66" i="76" s="1"/>
  <c r="W66" i="73"/>
  <c r="I70" i="76" s="1"/>
  <c r="T66" i="73"/>
  <c r="T69" i="73" s="1"/>
  <c r="V69" i="73"/>
  <c r="W9" i="73"/>
  <c r="I47" i="76" s="1"/>
  <c r="W24" i="73"/>
  <c r="I52" i="76" s="1"/>
  <c r="W37" i="73"/>
  <c r="I59" i="76" s="1"/>
  <c r="W50" i="73"/>
  <c r="I64" i="76" s="1"/>
  <c r="W27" i="73"/>
  <c r="I53" i="76" s="1"/>
  <c r="W43" i="73"/>
  <c r="I60" i="76" s="1"/>
  <c r="W34" i="73"/>
  <c r="I58" i="76" s="1"/>
  <c r="S68" i="70"/>
  <c r="S75" i="70" s="1"/>
  <c r="T69" i="70"/>
  <c r="T68" i="70"/>
  <c r="T75" i="70" s="1"/>
  <c r="L14" i="31"/>
  <c r="L13" i="31"/>
  <c r="J14" i="31"/>
  <c r="J13" i="31"/>
  <c r="H14" i="31"/>
  <c r="P14" i="31" s="1"/>
  <c r="H13" i="31"/>
  <c r="F14" i="31"/>
  <c r="F13" i="31"/>
  <c r="D14" i="31"/>
  <c r="D13" i="31"/>
  <c r="B14" i="31"/>
  <c r="B13" i="31"/>
  <c r="L9" i="31"/>
  <c r="L8" i="31"/>
  <c r="J9" i="31"/>
  <c r="J8" i="31"/>
  <c r="H9" i="31"/>
  <c r="H8" i="31"/>
  <c r="P8" i="31" s="1"/>
  <c r="F9" i="31"/>
  <c r="F8" i="31"/>
  <c r="D9" i="31"/>
  <c r="D8" i="31"/>
  <c r="B9" i="31"/>
  <c r="B8" i="31"/>
  <c r="J22" i="66"/>
  <c r="H21" i="66"/>
  <c r="F21" i="66"/>
  <c r="L20" i="66"/>
  <c r="B20" i="66"/>
  <c r="H12" i="66"/>
  <c r="L27" i="66"/>
  <c r="L26" i="66"/>
  <c r="L29" i="66" s="1"/>
  <c r="L25" i="66"/>
  <c r="L30" i="66" s="1"/>
  <c r="J27" i="66"/>
  <c r="J26" i="66"/>
  <c r="J25" i="66"/>
  <c r="H27" i="66"/>
  <c r="H26" i="66"/>
  <c r="H25" i="66"/>
  <c r="F27" i="66"/>
  <c r="F26" i="66"/>
  <c r="F25" i="66"/>
  <c r="F30" i="66" s="1"/>
  <c r="D27" i="66"/>
  <c r="D26" i="66"/>
  <c r="D25" i="66"/>
  <c r="D30" i="66" s="1"/>
  <c r="B26" i="66"/>
  <c r="B27" i="66"/>
  <c r="B25" i="66"/>
  <c r="L19" i="66"/>
  <c r="L21" i="66" s="1"/>
  <c r="L18" i="66"/>
  <c r="L17" i="66"/>
  <c r="J19" i="66"/>
  <c r="J18" i="66"/>
  <c r="J20" i="66" s="1"/>
  <c r="J17" i="66"/>
  <c r="H19" i="66"/>
  <c r="H18" i="66"/>
  <c r="H17" i="66"/>
  <c r="F19" i="66"/>
  <c r="F22" i="66" s="1"/>
  <c r="F18" i="66"/>
  <c r="F20" i="66" s="1"/>
  <c r="F17" i="66"/>
  <c r="D19" i="66"/>
  <c r="D21" i="66" s="1"/>
  <c r="D18" i="66"/>
  <c r="D20" i="66" s="1"/>
  <c r="D17" i="66"/>
  <c r="B18" i="66"/>
  <c r="B19" i="66"/>
  <c r="B17" i="66"/>
  <c r="L11" i="66"/>
  <c r="L10" i="66"/>
  <c r="L9" i="66"/>
  <c r="J11" i="66"/>
  <c r="J10" i="66"/>
  <c r="J12" i="66" s="1"/>
  <c r="J9" i="66"/>
  <c r="H11" i="66"/>
  <c r="H13" i="66" s="1"/>
  <c r="H10" i="66"/>
  <c r="H9" i="66"/>
  <c r="F11" i="66"/>
  <c r="F10" i="66"/>
  <c r="F12" i="66" s="1"/>
  <c r="F9" i="66"/>
  <c r="F14" i="66" s="1"/>
  <c r="D11" i="66"/>
  <c r="D10" i="66"/>
  <c r="D9" i="66"/>
  <c r="B10" i="66"/>
  <c r="B11" i="66"/>
  <c r="B9" i="66"/>
  <c r="L14" i="29"/>
  <c r="L13" i="29"/>
  <c r="L10" i="29"/>
  <c r="L9" i="29"/>
  <c r="L8" i="29"/>
  <c r="J14" i="29"/>
  <c r="J13" i="29"/>
  <c r="J10" i="29"/>
  <c r="J9" i="29"/>
  <c r="J8" i="29"/>
  <c r="H14" i="29"/>
  <c r="H13" i="29"/>
  <c r="H10" i="29"/>
  <c r="H9" i="29"/>
  <c r="H8" i="29"/>
  <c r="F14" i="29"/>
  <c r="F13" i="29"/>
  <c r="F10" i="29"/>
  <c r="F9" i="29"/>
  <c r="F8" i="29"/>
  <c r="D14" i="29"/>
  <c r="D13" i="29"/>
  <c r="D10" i="29"/>
  <c r="D9" i="29"/>
  <c r="D8" i="29"/>
  <c r="B9" i="29"/>
  <c r="B10" i="29"/>
  <c r="B13" i="29"/>
  <c r="B14" i="29"/>
  <c r="B8" i="29"/>
  <c r="L11" i="28"/>
  <c r="L9" i="28"/>
  <c r="L7" i="28"/>
  <c r="J11" i="28"/>
  <c r="J9" i="28"/>
  <c r="J7" i="28"/>
  <c r="H11" i="28"/>
  <c r="H9" i="28"/>
  <c r="H7" i="28"/>
  <c r="F11" i="28"/>
  <c r="F9" i="28"/>
  <c r="F7" i="28"/>
  <c r="D11" i="28"/>
  <c r="D9" i="28"/>
  <c r="D7" i="28"/>
  <c r="B9" i="28"/>
  <c r="B11" i="28"/>
  <c r="B7" i="28"/>
  <c r="L11" i="27"/>
  <c r="L9" i="27"/>
  <c r="L7" i="27"/>
  <c r="J11" i="27"/>
  <c r="J9" i="27"/>
  <c r="J7" i="27"/>
  <c r="H11" i="27"/>
  <c r="H9" i="27"/>
  <c r="H7" i="27"/>
  <c r="F11" i="27"/>
  <c r="F9" i="27"/>
  <c r="F7" i="27"/>
  <c r="D11" i="27"/>
  <c r="D9" i="27"/>
  <c r="D7" i="27"/>
  <c r="B9" i="27"/>
  <c r="B11" i="27"/>
  <c r="B7" i="27"/>
  <c r="L15" i="26"/>
  <c r="L13" i="26"/>
  <c r="L11" i="26"/>
  <c r="L9" i="26"/>
  <c r="L7" i="26"/>
  <c r="J15" i="26"/>
  <c r="J13" i="26"/>
  <c r="J11" i="26"/>
  <c r="J9" i="26"/>
  <c r="J7" i="26"/>
  <c r="H15" i="26"/>
  <c r="H13" i="26"/>
  <c r="H11" i="26"/>
  <c r="H9" i="26"/>
  <c r="H7" i="26"/>
  <c r="F15" i="26"/>
  <c r="F13" i="26"/>
  <c r="F11" i="26"/>
  <c r="F9" i="26"/>
  <c r="F7" i="26"/>
  <c r="D15" i="26"/>
  <c r="D13" i="26"/>
  <c r="D11" i="26"/>
  <c r="D9" i="26"/>
  <c r="D7" i="26"/>
  <c r="B9" i="26"/>
  <c r="B11" i="26"/>
  <c r="B13" i="26"/>
  <c r="B15" i="26"/>
  <c r="B7" i="26"/>
  <c r="X724" i="21"/>
  <c r="V724" i="21"/>
  <c r="T724" i="21"/>
  <c r="X723" i="21"/>
  <c r="V723" i="21"/>
  <c r="T723" i="21"/>
  <c r="X710" i="21"/>
  <c r="V710" i="21"/>
  <c r="T710" i="21"/>
  <c r="X709" i="21"/>
  <c r="V709" i="21"/>
  <c r="T709" i="21"/>
  <c r="X695" i="21"/>
  <c r="V695" i="21"/>
  <c r="T695" i="21"/>
  <c r="X694" i="21"/>
  <c r="V694" i="21"/>
  <c r="T694" i="21"/>
  <c r="X688" i="21"/>
  <c r="V688" i="21"/>
  <c r="T688" i="21"/>
  <c r="X687" i="21"/>
  <c r="V687" i="21"/>
  <c r="T687" i="21"/>
  <c r="X675" i="21"/>
  <c r="V675" i="21"/>
  <c r="T675" i="21"/>
  <c r="X674" i="21"/>
  <c r="V674" i="21"/>
  <c r="T674" i="21"/>
  <c r="X673" i="21"/>
  <c r="V673" i="21"/>
  <c r="T673" i="21"/>
  <c r="X660" i="21"/>
  <c r="V660" i="21"/>
  <c r="T660" i="21"/>
  <c r="X659" i="21"/>
  <c r="V659" i="21"/>
  <c r="T659" i="21"/>
  <c r="X658" i="21"/>
  <c r="V658" i="21"/>
  <c r="T658" i="21"/>
  <c r="X652" i="21"/>
  <c r="V652" i="21"/>
  <c r="T652" i="21"/>
  <c r="X651" i="21"/>
  <c r="V651" i="21"/>
  <c r="T651" i="21"/>
  <c r="X646" i="21"/>
  <c r="V646" i="21"/>
  <c r="X645" i="21"/>
  <c r="V645" i="21"/>
  <c r="X643" i="21"/>
  <c r="V643" i="21"/>
  <c r="T643" i="21"/>
  <c r="X642" i="21"/>
  <c r="V642" i="21"/>
  <c r="T642" i="21"/>
  <c r="X641" i="21"/>
  <c r="V641" i="21"/>
  <c r="T641" i="21"/>
  <c r="X639" i="21"/>
  <c r="V639" i="21"/>
  <c r="T639" i="21"/>
  <c r="X638" i="21"/>
  <c r="V638" i="21"/>
  <c r="T638" i="21"/>
  <c r="X637" i="21"/>
  <c r="V637" i="21"/>
  <c r="T637" i="21"/>
  <c r="X632" i="21"/>
  <c r="V632" i="21"/>
  <c r="X631" i="21"/>
  <c r="V631" i="21"/>
  <c r="X630" i="21"/>
  <c r="V630" i="21"/>
  <c r="X628" i="21"/>
  <c r="V628" i="21"/>
  <c r="T628" i="21"/>
  <c r="X627" i="21"/>
  <c r="V627" i="21"/>
  <c r="T627" i="21"/>
  <c r="X626" i="21"/>
  <c r="V626" i="21"/>
  <c r="T626" i="21"/>
  <c r="X624" i="21"/>
  <c r="V624" i="21"/>
  <c r="T624" i="21"/>
  <c r="X623" i="21"/>
  <c r="V623" i="21"/>
  <c r="T623" i="21"/>
  <c r="X622" i="21"/>
  <c r="V622" i="21"/>
  <c r="T622" i="21"/>
  <c r="X616" i="21"/>
  <c r="V616" i="21"/>
  <c r="T616" i="21"/>
  <c r="X615" i="21"/>
  <c r="V615" i="21"/>
  <c r="T615" i="21"/>
  <c r="X610" i="21"/>
  <c r="V610" i="21"/>
  <c r="T610" i="21"/>
  <c r="X609" i="21"/>
  <c r="V609" i="21"/>
  <c r="X607" i="21"/>
  <c r="V607" i="21"/>
  <c r="T607" i="21"/>
  <c r="X606" i="21"/>
  <c r="V606" i="21"/>
  <c r="T606" i="21"/>
  <c r="X605" i="21"/>
  <c r="V605" i="21"/>
  <c r="T605" i="21"/>
  <c r="X603" i="21"/>
  <c r="V603" i="21"/>
  <c r="T603" i="21"/>
  <c r="X602" i="21"/>
  <c r="V602" i="21"/>
  <c r="T602" i="21"/>
  <c r="X601" i="21"/>
  <c r="V601" i="21"/>
  <c r="T601" i="21"/>
  <c r="X596" i="21"/>
  <c r="V596" i="21"/>
  <c r="X595" i="21"/>
  <c r="V595" i="21"/>
  <c r="T595" i="21"/>
  <c r="X594" i="21"/>
  <c r="V594" i="21"/>
  <c r="T594" i="21"/>
  <c r="X592" i="21"/>
  <c r="V592" i="21"/>
  <c r="T592" i="21"/>
  <c r="X591" i="21"/>
  <c r="V591" i="21"/>
  <c r="T591" i="21"/>
  <c r="X590" i="21"/>
  <c r="V590" i="21"/>
  <c r="T590" i="21"/>
  <c r="X588" i="21"/>
  <c r="V588" i="21"/>
  <c r="T588" i="21"/>
  <c r="X587" i="21"/>
  <c r="V587" i="21"/>
  <c r="T587" i="21"/>
  <c r="X586" i="21"/>
  <c r="V586" i="21"/>
  <c r="T586" i="21"/>
  <c r="X580" i="21"/>
  <c r="V580" i="21"/>
  <c r="T580" i="21"/>
  <c r="X579" i="21"/>
  <c r="V579" i="21"/>
  <c r="T579" i="21"/>
  <c r="X574" i="21"/>
  <c r="V574" i="21"/>
  <c r="T574" i="21"/>
  <c r="X573" i="21"/>
  <c r="V573" i="21"/>
  <c r="T573" i="21"/>
  <c r="X570" i="21"/>
  <c r="V570" i="21"/>
  <c r="T570" i="21"/>
  <c r="X569" i="21"/>
  <c r="V569" i="21"/>
  <c r="T569" i="21"/>
  <c r="X566" i="21"/>
  <c r="V566" i="21"/>
  <c r="T566" i="21"/>
  <c r="X565" i="21"/>
  <c r="V565" i="21"/>
  <c r="T565" i="21"/>
  <c r="X559" i="21"/>
  <c r="V559" i="21"/>
  <c r="T559" i="21"/>
  <c r="X558" i="21"/>
  <c r="V558" i="21"/>
  <c r="T558" i="21"/>
  <c r="X555" i="21"/>
  <c r="V555" i="21"/>
  <c r="T555" i="21"/>
  <c r="X554" i="21"/>
  <c r="V554" i="21"/>
  <c r="T554" i="21"/>
  <c r="X551" i="21"/>
  <c r="V551" i="21"/>
  <c r="T551" i="21"/>
  <c r="X550" i="21"/>
  <c r="V550" i="21"/>
  <c r="T550" i="21"/>
  <c r="X544" i="21"/>
  <c r="V544" i="21"/>
  <c r="T544" i="21"/>
  <c r="X543" i="21"/>
  <c r="V543" i="21"/>
  <c r="T543" i="21"/>
  <c r="X534" i="21"/>
  <c r="V534" i="21"/>
  <c r="T534" i="21"/>
  <c r="X533" i="21"/>
  <c r="V533" i="21"/>
  <c r="T533" i="21"/>
  <c r="X530" i="21"/>
  <c r="V530" i="21"/>
  <c r="T530" i="21"/>
  <c r="X529" i="21"/>
  <c r="V529" i="21"/>
  <c r="T529" i="21"/>
  <c r="X519" i="21"/>
  <c r="V519" i="21"/>
  <c r="T519" i="21"/>
  <c r="X518" i="21"/>
  <c r="V518" i="21"/>
  <c r="T518" i="21"/>
  <c r="X515" i="21"/>
  <c r="V515" i="21"/>
  <c r="T515" i="21"/>
  <c r="X514" i="21"/>
  <c r="V514" i="21"/>
  <c r="T514" i="21"/>
  <c r="X508" i="21"/>
  <c r="V508" i="21"/>
  <c r="T508" i="21"/>
  <c r="X507" i="21"/>
  <c r="V507" i="21"/>
  <c r="T507" i="21"/>
  <c r="X498" i="21"/>
  <c r="V498" i="21"/>
  <c r="T498" i="21"/>
  <c r="X497" i="21"/>
  <c r="V497" i="21"/>
  <c r="T497" i="21"/>
  <c r="X494" i="21"/>
  <c r="V494" i="21"/>
  <c r="T494" i="21"/>
  <c r="X493" i="21"/>
  <c r="V493" i="21"/>
  <c r="T493" i="21"/>
  <c r="X483" i="21"/>
  <c r="V483" i="21"/>
  <c r="T483" i="21"/>
  <c r="X482" i="21"/>
  <c r="V482" i="21"/>
  <c r="T482" i="21"/>
  <c r="X479" i="21"/>
  <c r="V479" i="21"/>
  <c r="T479" i="21"/>
  <c r="X478" i="21"/>
  <c r="V478" i="21"/>
  <c r="T478" i="21"/>
  <c r="X472" i="21"/>
  <c r="V472" i="21"/>
  <c r="T472" i="21"/>
  <c r="X471" i="21"/>
  <c r="V471" i="21"/>
  <c r="T471" i="21"/>
  <c r="X462" i="21"/>
  <c r="V462" i="21"/>
  <c r="T462" i="21"/>
  <c r="X461" i="21"/>
  <c r="V461" i="21"/>
  <c r="T461" i="21"/>
  <c r="X458" i="21"/>
  <c r="V458" i="21"/>
  <c r="T458" i="21"/>
  <c r="X457" i="21"/>
  <c r="V457" i="21"/>
  <c r="T457" i="21"/>
  <c r="X447" i="21"/>
  <c r="V447" i="21"/>
  <c r="T447" i="21"/>
  <c r="X446" i="21"/>
  <c r="V446" i="21"/>
  <c r="T446" i="21"/>
  <c r="X443" i="21"/>
  <c r="V443" i="21"/>
  <c r="T443" i="21"/>
  <c r="X442" i="21"/>
  <c r="V442" i="21"/>
  <c r="T442" i="21"/>
  <c r="X436" i="21"/>
  <c r="V436" i="21"/>
  <c r="T436" i="21"/>
  <c r="X435" i="21"/>
  <c r="V435" i="21"/>
  <c r="T435" i="21"/>
  <c r="X430" i="21"/>
  <c r="V430" i="21"/>
  <c r="T430" i="21"/>
  <c r="X429" i="21"/>
  <c r="V429" i="21"/>
  <c r="T429" i="21"/>
  <c r="X426" i="21"/>
  <c r="V426" i="21"/>
  <c r="T426" i="21"/>
  <c r="X425" i="21"/>
  <c r="V425" i="21"/>
  <c r="T425" i="21"/>
  <c r="X422" i="21"/>
  <c r="V422" i="21"/>
  <c r="T422" i="21"/>
  <c r="X421" i="21"/>
  <c r="V421" i="21"/>
  <c r="T421" i="21"/>
  <c r="X415" i="21"/>
  <c r="V415" i="21"/>
  <c r="T415" i="21"/>
  <c r="X414" i="21"/>
  <c r="V414" i="21"/>
  <c r="T414" i="21"/>
  <c r="X411" i="21"/>
  <c r="V411" i="21"/>
  <c r="T411" i="21"/>
  <c r="X410" i="21"/>
  <c r="V410" i="21"/>
  <c r="T410" i="21"/>
  <c r="X407" i="21"/>
  <c r="V407" i="21"/>
  <c r="T407" i="21"/>
  <c r="X406" i="21"/>
  <c r="V406" i="21"/>
  <c r="T406" i="21"/>
  <c r="X371" i="21"/>
  <c r="V371" i="21"/>
  <c r="T371" i="21"/>
  <c r="X364" i="21"/>
  <c r="V364" i="21"/>
  <c r="T364" i="21"/>
  <c r="X363" i="21"/>
  <c r="V363" i="21"/>
  <c r="T363" i="21"/>
  <c r="X358" i="21"/>
  <c r="V358" i="21"/>
  <c r="T358" i="21"/>
  <c r="X357" i="21"/>
  <c r="V357" i="21"/>
  <c r="T357" i="21"/>
  <c r="X354" i="21"/>
  <c r="V354" i="21"/>
  <c r="T354" i="21"/>
  <c r="X353" i="21"/>
  <c r="V353" i="21"/>
  <c r="T353" i="21"/>
  <c r="X350" i="21"/>
  <c r="V350" i="21"/>
  <c r="T350" i="21"/>
  <c r="X349" i="21"/>
  <c r="V349" i="21"/>
  <c r="T349" i="21"/>
  <c r="X343" i="21"/>
  <c r="V343" i="21"/>
  <c r="T343" i="21"/>
  <c r="X342" i="21"/>
  <c r="V342" i="21"/>
  <c r="T342" i="21"/>
  <c r="X339" i="21"/>
  <c r="V339" i="21"/>
  <c r="T339" i="21"/>
  <c r="X338" i="21"/>
  <c r="V338" i="21"/>
  <c r="T338" i="21"/>
  <c r="X335" i="21"/>
  <c r="V335" i="21"/>
  <c r="T335" i="21"/>
  <c r="X334" i="21"/>
  <c r="V334" i="21"/>
  <c r="T334" i="21"/>
  <c r="X328" i="21"/>
  <c r="V328" i="21"/>
  <c r="T328" i="21"/>
  <c r="X327" i="21"/>
  <c r="V327" i="21"/>
  <c r="T327" i="21"/>
  <c r="X322" i="21"/>
  <c r="V322" i="21"/>
  <c r="T322" i="21"/>
  <c r="X321" i="21"/>
  <c r="V321" i="21"/>
  <c r="T321" i="21"/>
  <c r="X318" i="21"/>
  <c r="V318" i="21"/>
  <c r="T318" i="21"/>
  <c r="X317" i="21"/>
  <c r="V317" i="21"/>
  <c r="T317" i="21"/>
  <c r="X314" i="21"/>
  <c r="V314" i="21"/>
  <c r="T314" i="21"/>
  <c r="X313" i="21"/>
  <c r="V313" i="21"/>
  <c r="T313" i="21"/>
  <c r="X307" i="21"/>
  <c r="V307" i="21"/>
  <c r="T307" i="21"/>
  <c r="X306" i="21"/>
  <c r="V306" i="21"/>
  <c r="T306" i="21"/>
  <c r="X303" i="21"/>
  <c r="V303" i="21"/>
  <c r="T303" i="21"/>
  <c r="X302" i="21"/>
  <c r="V302" i="21"/>
  <c r="T302" i="21"/>
  <c r="X299" i="21"/>
  <c r="V299" i="21"/>
  <c r="T299" i="21"/>
  <c r="X298" i="21"/>
  <c r="V298" i="21"/>
  <c r="T298" i="21"/>
  <c r="X292" i="21"/>
  <c r="V292" i="21"/>
  <c r="T292" i="21"/>
  <c r="X291" i="21"/>
  <c r="V291" i="21"/>
  <c r="T291" i="21"/>
  <c r="X283" i="21"/>
  <c r="V283" i="21"/>
  <c r="T283" i="21"/>
  <c r="X282" i="21"/>
  <c r="V282" i="21"/>
  <c r="T282" i="21"/>
  <c r="X281" i="21"/>
  <c r="V281" i="21"/>
  <c r="T281" i="21"/>
  <c r="X279" i="21"/>
  <c r="V279" i="21"/>
  <c r="T279" i="21"/>
  <c r="X278" i="21"/>
  <c r="V278" i="21"/>
  <c r="T278" i="21"/>
  <c r="X277" i="21"/>
  <c r="V277" i="21"/>
  <c r="T277" i="21"/>
  <c r="X268" i="21"/>
  <c r="V268" i="21"/>
  <c r="T268" i="21"/>
  <c r="X267" i="21"/>
  <c r="V267" i="21"/>
  <c r="T267" i="21"/>
  <c r="X266" i="21"/>
  <c r="V266" i="21"/>
  <c r="T266" i="21"/>
  <c r="X264" i="21"/>
  <c r="V264" i="21"/>
  <c r="T264" i="21"/>
  <c r="X263" i="21"/>
  <c r="V263" i="21"/>
  <c r="T263" i="21"/>
  <c r="X262" i="21"/>
  <c r="V262" i="21"/>
  <c r="T262" i="21"/>
  <c r="X256" i="21"/>
  <c r="V256" i="21"/>
  <c r="T256" i="21"/>
  <c r="X255" i="21"/>
  <c r="V255" i="21"/>
  <c r="T255" i="21"/>
  <c r="X246" i="21"/>
  <c r="V246" i="21"/>
  <c r="T246" i="21"/>
  <c r="X245" i="21"/>
  <c r="V245" i="21"/>
  <c r="T245" i="21"/>
  <c r="X242" i="21"/>
  <c r="V242" i="21"/>
  <c r="T242" i="21"/>
  <c r="X241" i="21"/>
  <c r="V241" i="21"/>
  <c r="T241" i="21"/>
  <c r="X231" i="21"/>
  <c r="V231" i="21"/>
  <c r="T231" i="21"/>
  <c r="X230" i="21"/>
  <c r="V230" i="21"/>
  <c r="T230" i="21"/>
  <c r="X227" i="21"/>
  <c r="V227" i="21"/>
  <c r="T227" i="21"/>
  <c r="X226" i="21"/>
  <c r="V226" i="21"/>
  <c r="T226" i="21"/>
  <c r="X220" i="21"/>
  <c r="V220" i="21"/>
  <c r="T220" i="21"/>
  <c r="X219" i="21"/>
  <c r="V219" i="21"/>
  <c r="T219" i="21"/>
  <c r="X210" i="21"/>
  <c r="V210" i="21"/>
  <c r="T210" i="21"/>
  <c r="X209" i="21"/>
  <c r="V209" i="21"/>
  <c r="T209" i="21"/>
  <c r="X206" i="21"/>
  <c r="V206" i="21"/>
  <c r="T206" i="21"/>
  <c r="X205" i="21"/>
  <c r="V205" i="21"/>
  <c r="T205" i="21"/>
  <c r="X195" i="21"/>
  <c r="V195" i="21"/>
  <c r="T195" i="21"/>
  <c r="X194" i="21"/>
  <c r="V194" i="21"/>
  <c r="T194" i="21"/>
  <c r="X191" i="21"/>
  <c r="V191" i="21"/>
  <c r="T191" i="21"/>
  <c r="X190" i="21"/>
  <c r="V190" i="21"/>
  <c r="T190" i="21"/>
  <c r="X184" i="21"/>
  <c r="V184" i="21"/>
  <c r="T184" i="21"/>
  <c r="X183" i="21"/>
  <c r="V183" i="21"/>
  <c r="T183" i="21"/>
  <c r="X174" i="21"/>
  <c r="V174" i="21"/>
  <c r="T174" i="21"/>
  <c r="X173" i="21"/>
  <c r="V173" i="21"/>
  <c r="T173" i="21"/>
  <c r="X170" i="21"/>
  <c r="V170" i="21"/>
  <c r="T170" i="21"/>
  <c r="X169" i="21"/>
  <c r="V169" i="21"/>
  <c r="T169" i="21"/>
  <c r="X159" i="21"/>
  <c r="V159" i="21"/>
  <c r="T159" i="21"/>
  <c r="X158" i="21"/>
  <c r="V158" i="21"/>
  <c r="T158" i="21"/>
  <c r="X155" i="21"/>
  <c r="V155" i="21"/>
  <c r="T155" i="21"/>
  <c r="X154" i="21"/>
  <c r="V154" i="21"/>
  <c r="T154" i="21"/>
  <c r="X148" i="21"/>
  <c r="V148" i="21"/>
  <c r="T148" i="21"/>
  <c r="X147" i="21"/>
  <c r="V147" i="21"/>
  <c r="T147" i="21"/>
  <c r="X139" i="21"/>
  <c r="V139" i="21"/>
  <c r="T139" i="21"/>
  <c r="X138" i="21"/>
  <c r="V138" i="21"/>
  <c r="T138" i="21"/>
  <c r="X137" i="21"/>
  <c r="V137" i="21"/>
  <c r="T137" i="21"/>
  <c r="X135" i="21"/>
  <c r="V135" i="21"/>
  <c r="T135" i="21"/>
  <c r="X134" i="21"/>
  <c r="V134" i="21"/>
  <c r="T134" i="21"/>
  <c r="X133" i="21"/>
  <c r="V133" i="21"/>
  <c r="T133" i="21"/>
  <c r="X124" i="21"/>
  <c r="V124" i="21"/>
  <c r="T124" i="21"/>
  <c r="X123" i="21"/>
  <c r="V123" i="21"/>
  <c r="T123" i="21"/>
  <c r="X122" i="21"/>
  <c r="V122" i="21"/>
  <c r="T122" i="21"/>
  <c r="X120" i="21"/>
  <c r="V120" i="21"/>
  <c r="T120" i="21"/>
  <c r="X119" i="21"/>
  <c r="V119" i="21"/>
  <c r="T119" i="21"/>
  <c r="X118" i="21"/>
  <c r="V118" i="21"/>
  <c r="T118" i="21"/>
  <c r="X112" i="21"/>
  <c r="V112" i="21"/>
  <c r="T112" i="21"/>
  <c r="X111" i="21"/>
  <c r="V111" i="21"/>
  <c r="T111" i="21"/>
  <c r="X106" i="21"/>
  <c r="V106" i="21"/>
  <c r="T106" i="21"/>
  <c r="X105" i="21"/>
  <c r="V105" i="21"/>
  <c r="T105" i="21"/>
  <c r="X102" i="21"/>
  <c r="V102" i="21"/>
  <c r="T102" i="21"/>
  <c r="X101" i="21"/>
  <c r="V101" i="21"/>
  <c r="T101" i="21"/>
  <c r="X98" i="21"/>
  <c r="V98" i="21"/>
  <c r="T98" i="21"/>
  <c r="X97" i="21"/>
  <c r="V97" i="21"/>
  <c r="T97" i="21"/>
  <c r="X91" i="21"/>
  <c r="V91" i="21"/>
  <c r="T91" i="21"/>
  <c r="X90" i="21"/>
  <c r="V90" i="21"/>
  <c r="T90" i="21"/>
  <c r="X87" i="21"/>
  <c r="V87" i="21"/>
  <c r="T87" i="21"/>
  <c r="X86" i="21"/>
  <c r="V86" i="21"/>
  <c r="T86" i="21"/>
  <c r="X83" i="21"/>
  <c r="V83" i="21"/>
  <c r="T83" i="21"/>
  <c r="X82" i="21"/>
  <c r="V82" i="21"/>
  <c r="T82" i="21"/>
  <c r="X76" i="21"/>
  <c r="V76" i="21"/>
  <c r="X75" i="21"/>
  <c r="V75" i="21"/>
  <c r="L121" i="58"/>
  <c r="L123" i="58" s="1"/>
  <c r="J121" i="58"/>
  <c r="J123" i="58" s="1"/>
  <c r="H121" i="58"/>
  <c r="H123" i="58" s="1"/>
  <c r="F121" i="58"/>
  <c r="F123" i="58" s="1"/>
  <c r="D123" i="58"/>
  <c r="B123" i="58"/>
  <c r="P121" i="58"/>
  <c r="N121" i="58"/>
  <c r="P119" i="58"/>
  <c r="N119" i="58"/>
  <c r="L191" i="31"/>
  <c r="J191" i="31"/>
  <c r="H191" i="31"/>
  <c r="F191" i="31"/>
  <c r="D191" i="31"/>
  <c r="B191" i="31"/>
  <c r="L186" i="31"/>
  <c r="J186" i="31"/>
  <c r="H186" i="31"/>
  <c r="F186" i="31"/>
  <c r="D186" i="31"/>
  <c r="B186" i="31"/>
  <c r="B64" i="66"/>
  <c r="D64" i="66"/>
  <c r="F64" i="66"/>
  <c r="H64" i="66"/>
  <c r="J64" i="66"/>
  <c r="L64" i="66"/>
  <c r="L82" i="66"/>
  <c r="J82" i="66"/>
  <c r="H82" i="66"/>
  <c r="F82" i="66"/>
  <c r="D82" i="66"/>
  <c r="B82" i="66"/>
  <c r="L74" i="66"/>
  <c r="J74" i="66"/>
  <c r="H74" i="66"/>
  <c r="F74" i="66"/>
  <c r="D74" i="66"/>
  <c r="B74" i="66"/>
  <c r="L66" i="66"/>
  <c r="J66" i="66"/>
  <c r="H66" i="66"/>
  <c r="F66" i="66"/>
  <c r="D66" i="66"/>
  <c r="B66" i="66"/>
  <c r="B56" i="66"/>
  <c r="L56" i="66"/>
  <c r="J56" i="66"/>
  <c r="H56" i="66"/>
  <c r="F56" i="66"/>
  <c r="D56" i="66"/>
  <c r="L48" i="66"/>
  <c r="J48" i="66"/>
  <c r="H48" i="66"/>
  <c r="F48" i="66"/>
  <c r="D48" i="66"/>
  <c r="B48" i="66"/>
  <c r="L40" i="66"/>
  <c r="J40" i="66"/>
  <c r="H40" i="66"/>
  <c r="F40" i="66"/>
  <c r="D40" i="66"/>
  <c r="B40" i="66"/>
  <c r="L81" i="66"/>
  <c r="J81" i="66"/>
  <c r="H81" i="66"/>
  <c r="F81" i="66"/>
  <c r="D81" i="66"/>
  <c r="B81" i="66"/>
  <c r="L80" i="66"/>
  <c r="J80" i="66"/>
  <c r="H80" i="66"/>
  <c r="F80" i="66"/>
  <c r="D80" i="66"/>
  <c r="B80" i="66"/>
  <c r="P79" i="66"/>
  <c r="N79" i="66"/>
  <c r="P78" i="66"/>
  <c r="N78" i="66"/>
  <c r="P77" i="66"/>
  <c r="N77" i="66"/>
  <c r="L73" i="66"/>
  <c r="J73" i="66"/>
  <c r="H73" i="66"/>
  <c r="F73" i="66"/>
  <c r="D73" i="66"/>
  <c r="B73" i="66"/>
  <c r="L72" i="66"/>
  <c r="J72" i="66"/>
  <c r="H72" i="66"/>
  <c r="F72" i="66"/>
  <c r="D72" i="66"/>
  <c r="B72" i="66"/>
  <c r="P71" i="66"/>
  <c r="N71" i="66"/>
  <c r="P70" i="66"/>
  <c r="N70" i="66"/>
  <c r="P69" i="66"/>
  <c r="N69" i="66"/>
  <c r="L65" i="66"/>
  <c r="J65" i="66"/>
  <c r="H65" i="66"/>
  <c r="F65" i="66"/>
  <c r="D65" i="66"/>
  <c r="B65" i="66"/>
  <c r="P63" i="66"/>
  <c r="N63" i="66"/>
  <c r="P62" i="66"/>
  <c r="N62" i="66"/>
  <c r="P61" i="66"/>
  <c r="N61" i="66"/>
  <c r="L147" i="29"/>
  <c r="AB147" i="29" s="1"/>
  <c r="J147" i="29"/>
  <c r="Z147" i="29" s="1"/>
  <c r="H147" i="29"/>
  <c r="X147" i="29" s="1"/>
  <c r="F147" i="29"/>
  <c r="V147" i="29" s="1"/>
  <c r="D147" i="29"/>
  <c r="T147" i="29" s="1"/>
  <c r="B147" i="29"/>
  <c r="P142" i="29"/>
  <c r="N142" i="29"/>
  <c r="P141" i="29"/>
  <c r="N141" i="29"/>
  <c r="P140" i="29"/>
  <c r="N140" i="29"/>
  <c r="P139" i="27"/>
  <c r="N139" i="27"/>
  <c r="L140" i="27"/>
  <c r="AD140" i="27" s="1"/>
  <c r="J140" i="27"/>
  <c r="AB140" i="27" s="1"/>
  <c r="H140" i="27"/>
  <c r="Z140" i="27" s="1"/>
  <c r="F140" i="27"/>
  <c r="X140" i="27" s="1"/>
  <c r="D140" i="27"/>
  <c r="V140" i="27" s="1"/>
  <c r="B140" i="27"/>
  <c r="P137" i="27"/>
  <c r="N137" i="27"/>
  <c r="P135" i="27"/>
  <c r="N135" i="27"/>
  <c r="L208" i="26"/>
  <c r="AB208" i="26" s="1"/>
  <c r="J208" i="26"/>
  <c r="Z208" i="26" s="1"/>
  <c r="H208" i="26"/>
  <c r="X208" i="26" s="1"/>
  <c r="F208" i="26"/>
  <c r="V208" i="26" s="1"/>
  <c r="D208" i="26"/>
  <c r="T208" i="26" s="1"/>
  <c r="B208" i="26"/>
  <c r="P203" i="26"/>
  <c r="N203" i="26"/>
  <c r="P201" i="26"/>
  <c r="N201" i="26"/>
  <c r="P199" i="26"/>
  <c r="N199" i="26"/>
  <c r="R716" i="21"/>
  <c r="P716" i="21"/>
  <c r="N716" i="21"/>
  <c r="L716" i="21"/>
  <c r="J716" i="21"/>
  <c r="H716" i="21"/>
  <c r="F716" i="21"/>
  <c r="D716" i="21"/>
  <c r="B716" i="21"/>
  <c r="R712" i="21"/>
  <c r="P712" i="21"/>
  <c r="N712" i="21"/>
  <c r="L712" i="21"/>
  <c r="J712" i="21"/>
  <c r="H712" i="21"/>
  <c r="F712" i="21"/>
  <c r="D712" i="21"/>
  <c r="B712" i="21"/>
  <c r="R708" i="21"/>
  <c r="P708" i="21"/>
  <c r="N708" i="21"/>
  <c r="L708" i="21"/>
  <c r="J708" i="21"/>
  <c r="J720" i="21" s="1"/>
  <c r="H708" i="21"/>
  <c r="F708" i="21"/>
  <c r="D708" i="21"/>
  <c r="B708" i="21"/>
  <c r="B720" i="21" s="1"/>
  <c r="R701" i="21"/>
  <c r="P701" i="21"/>
  <c r="N701" i="21"/>
  <c r="L701" i="21"/>
  <c r="J701" i="21"/>
  <c r="H701" i="21"/>
  <c r="F701" i="21"/>
  <c r="D701" i="21"/>
  <c r="B701" i="21"/>
  <c r="R697" i="21"/>
  <c r="P697" i="21"/>
  <c r="N697" i="21"/>
  <c r="L697" i="21"/>
  <c r="J697" i="21"/>
  <c r="H697" i="21"/>
  <c r="F697" i="21"/>
  <c r="D697" i="21"/>
  <c r="B697" i="21"/>
  <c r="R693" i="21"/>
  <c r="P693" i="21"/>
  <c r="N693" i="21"/>
  <c r="L693" i="21"/>
  <c r="J693" i="21"/>
  <c r="H693" i="21"/>
  <c r="H705" i="21" s="1"/>
  <c r="F693" i="21"/>
  <c r="D693" i="21"/>
  <c r="B693" i="21"/>
  <c r="L113" i="58"/>
  <c r="J113" i="58"/>
  <c r="H113" i="58"/>
  <c r="F113" i="58"/>
  <c r="D113" i="58"/>
  <c r="B113" i="58"/>
  <c r="P111" i="58"/>
  <c r="N111" i="58"/>
  <c r="P109" i="58"/>
  <c r="N109" i="58"/>
  <c r="B175" i="31"/>
  <c r="L175" i="31"/>
  <c r="J175" i="31"/>
  <c r="H175" i="31"/>
  <c r="F175" i="31"/>
  <c r="D175" i="31"/>
  <c r="J55" i="66"/>
  <c r="H55" i="66"/>
  <c r="F55" i="66"/>
  <c r="D55" i="66"/>
  <c r="B55" i="66"/>
  <c r="L54" i="66"/>
  <c r="J54" i="66"/>
  <c r="H54" i="66"/>
  <c r="F54" i="66"/>
  <c r="D54" i="66"/>
  <c r="B54" i="66"/>
  <c r="L47" i="66"/>
  <c r="J47" i="66"/>
  <c r="H47" i="66"/>
  <c r="F47" i="66"/>
  <c r="D47" i="66"/>
  <c r="B47" i="66"/>
  <c r="L46" i="66"/>
  <c r="J46" i="66"/>
  <c r="H46" i="66"/>
  <c r="F46" i="66"/>
  <c r="D46" i="66"/>
  <c r="B46" i="66"/>
  <c r="L39" i="66"/>
  <c r="L38" i="66"/>
  <c r="J39" i="66"/>
  <c r="J38" i="66"/>
  <c r="H39" i="66"/>
  <c r="H38" i="66"/>
  <c r="F39" i="66"/>
  <c r="F38" i="66"/>
  <c r="D39" i="66"/>
  <c r="D38" i="66"/>
  <c r="B39" i="66"/>
  <c r="B38" i="66"/>
  <c r="P53" i="66"/>
  <c r="N53" i="66"/>
  <c r="P52" i="66"/>
  <c r="N52" i="66"/>
  <c r="P51" i="66"/>
  <c r="N51" i="66"/>
  <c r="P45" i="66"/>
  <c r="R45" i="66" s="1"/>
  <c r="N45" i="66"/>
  <c r="P44" i="66"/>
  <c r="N44" i="66"/>
  <c r="P43" i="66"/>
  <c r="R43" i="66" s="1"/>
  <c r="N43" i="66"/>
  <c r="P37" i="66"/>
  <c r="N37" i="66"/>
  <c r="P36" i="66"/>
  <c r="R36" i="66" s="1"/>
  <c r="N36" i="66"/>
  <c r="P35" i="66"/>
  <c r="R35" i="66" s="1"/>
  <c r="N35" i="66"/>
  <c r="N129" i="29"/>
  <c r="L136" i="29"/>
  <c r="AB136" i="29" s="1"/>
  <c r="J136" i="29"/>
  <c r="Z136" i="29" s="1"/>
  <c r="H136" i="29"/>
  <c r="X136" i="29" s="1"/>
  <c r="F136" i="29"/>
  <c r="V136" i="29" s="1"/>
  <c r="D136" i="29"/>
  <c r="T136" i="29" s="1"/>
  <c r="B136" i="29"/>
  <c r="N136" i="29" s="1"/>
  <c r="P131" i="29"/>
  <c r="N131" i="29"/>
  <c r="P130" i="29"/>
  <c r="N130" i="29"/>
  <c r="P129" i="29"/>
  <c r="R129" i="29" s="1"/>
  <c r="L132" i="27"/>
  <c r="AD132" i="27" s="1"/>
  <c r="J132" i="27"/>
  <c r="AB132" i="27" s="1"/>
  <c r="H132" i="27"/>
  <c r="Z132" i="27" s="1"/>
  <c r="F132" i="27"/>
  <c r="X132" i="27" s="1"/>
  <c r="D132" i="27"/>
  <c r="V132" i="27" s="1"/>
  <c r="B132" i="27"/>
  <c r="P129" i="27"/>
  <c r="N129" i="27"/>
  <c r="P127" i="27"/>
  <c r="N127" i="27"/>
  <c r="L196" i="26"/>
  <c r="AB196" i="26" s="1"/>
  <c r="J196" i="26"/>
  <c r="Z196" i="26" s="1"/>
  <c r="H196" i="26"/>
  <c r="X196" i="26" s="1"/>
  <c r="F196" i="26"/>
  <c r="V196" i="26" s="1"/>
  <c r="D196" i="26"/>
  <c r="T196" i="26" s="1"/>
  <c r="B196" i="26"/>
  <c r="P189" i="26"/>
  <c r="N189" i="26"/>
  <c r="P187" i="26"/>
  <c r="R187" i="26" s="1"/>
  <c r="N187" i="26"/>
  <c r="R680" i="21"/>
  <c r="P680" i="21"/>
  <c r="N680" i="21"/>
  <c r="L680" i="21"/>
  <c r="J680" i="21"/>
  <c r="H680" i="21"/>
  <c r="F680" i="21"/>
  <c r="D680" i="21"/>
  <c r="B680" i="21"/>
  <c r="R676" i="21"/>
  <c r="P676" i="21"/>
  <c r="N676" i="21"/>
  <c r="L676" i="21"/>
  <c r="J676" i="21"/>
  <c r="H676" i="21"/>
  <c r="F676" i="21"/>
  <c r="D676" i="21"/>
  <c r="B676" i="21"/>
  <c r="R672" i="21"/>
  <c r="X672" i="21" s="1"/>
  <c r="P672" i="21"/>
  <c r="N672" i="21"/>
  <c r="L672" i="21"/>
  <c r="L684" i="21" s="1"/>
  <c r="J672" i="21"/>
  <c r="H672" i="21"/>
  <c r="F672" i="21"/>
  <c r="D672" i="21"/>
  <c r="D684" i="21" s="1"/>
  <c r="B672" i="21"/>
  <c r="R665" i="21"/>
  <c r="P665" i="21"/>
  <c r="N665" i="21"/>
  <c r="L665" i="21"/>
  <c r="J665" i="21"/>
  <c r="H665" i="21"/>
  <c r="F665" i="21"/>
  <c r="D665" i="21"/>
  <c r="B665" i="21"/>
  <c r="R661" i="21"/>
  <c r="P661" i="21"/>
  <c r="N661" i="21"/>
  <c r="L661" i="21"/>
  <c r="J661" i="21"/>
  <c r="H661" i="21"/>
  <c r="F661" i="21"/>
  <c r="D661" i="21"/>
  <c r="B661" i="21"/>
  <c r="R657" i="21"/>
  <c r="P657" i="21"/>
  <c r="V657" i="21" s="1"/>
  <c r="N657" i="21"/>
  <c r="L657" i="21"/>
  <c r="J657" i="21"/>
  <c r="J669" i="21" s="1"/>
  <c r="H657" i="21"/>
  <c r="F657" i="21"/>
  <c r="D657" i="21"/>
  <c r="B657" i="21"/>
  <c r="B669" i="21" s="1"/>
  <c r="L97" i="58"/>
  <c r="L101" i="58" s="1"/>
  <c r="J97" i="58"/>
  <c r="J101" i="58" s="1"/>
  <c r="H97" i="58"/>
  <c r="H101" i="58" s="1"/>
  <c r="F97" i="58"/>
  <c r="F101" i="58" s="1"/>
  <c r="D97" i="58"/>
  <c r="D101" i="58" s="1"/>
  <c r="B97" i="58"/>
  <c r="B101" i="58" s="1"/>
  <c r="L93" i="58"/>
  <c r="J89" i="58"/>
  <c r="P89" i="58" s="1"/>
  <c r="H89" i="58"/>
  <c r="H93" i="58" s="1"/>
  <c r="F89" i="58"/>
  <c r="D89" i="58"/>
  <c r="D93" i="58" s="1"/>
  <c r="B93" i="58"/>
  <c r="L85" i="58"/>
  <c r="J85" i="58"/>
  <c r="H85" i="58"/>
  <c r="F85" i="58"/>
  <c r="D85" i="58"/>
  <c r="B85" i="58"/>
  <c r="L77" i="58"/>
  <c r="J77" i="58"/>
  <c r="P77" i="58" s="1"/>
  <c r="H77" i="58"/>
  <c r="F77" i="58"/>
  <c r="D77" i="58"/>
  <c r="B77" i="58"/>
  <c r="N77" i="58" s="1"/>
  <c r="P83" i="58"/>
  <c r="N83" i="58"/>
  <c r="P81" i="58"/>
  <c r="N81" i="58"/>
  <c r="P75" i="58"/>
  <c r="N75" i="58"/>
  <c r="P73" i="58"/>
  <c r="N73" i="58"/>
  <c r="L169" i="31"/>
  <c r="J169" i="31"/>
  <c r="H169" i="31"/>
  <c r="F169" i="31"/>
  <c r="D169" i="31"/>
  <c r="B169" i="31"/>
  <c r="L125" i="29"/>
  <c r="AB125" i="29" s="1"/>
  <c r="J125" i="29"/>
  <c r="Z125" i="29" s="1"/>
  <c r="H125" i="29"/>
  <c r="X125" i="29" s="1"/>
  <c r="F125" i="29"/>
  <c r="V125" i="29" s="1"/>
  <c r="D125" i="29"/>
  <c r="T125" i="29" s="1"/>
  <c r="B125" i="29"/>
  <c r="N125" i="29" s="1"/>
  <c r="P124" i="29"/>
  <c r="N124" i="29"/>
  <c r="R124" i="29" s="1"/>
  <c r="P123" i="29"/>
  <c r="N123" i="29"/>
  <c r="L124" i="27"/>
  <c r="AD124" i="27" s="1"/>
  <c r="J124" i="27"/>
  <c r="AB124" i="27" s="1"/>
  <c r="H124" i="27"/>
  <c r="F124" i="27"/>
  <c r="X124" i="27" s="1"/>
  <c r="D124" i="27"/>
  <c r="V124" i="27" s="1"/>
  <c r="B124" i="27"/>
  <c r="P123" i="27"/>
  <c r="N123" i="27"/>
  <c r="L184" i="26"/>
  <c r="AB184" i="26" s="1"/>
  <c r="J184" i="26"/>
  <c r="Z184" i="26" s="1"/>
  <c r="H184" i="26"/>
  <c r="F184" i="26"/>
  <c r="V184" i="26" s="1"/>
  <c r="D184" i="26"/>
  <c r="T184" i="26" s="1"/>
  <c r="B184" i="26"/>
  <c r="P183" i="26"/>
  <c r="N183" i="26"/>
  <c r="P181" i="26"/>
  <c r="R181" i="26" s="1"/>
  <c r="N181" i="26"/>
  <c r="P179" i="26"/>
  <c r="N179" i="26"/>
  <c r="R644" i="21"/>
  <c r="X644" i="21" s="1"/>
  <c r="P644" i="21"/>
  <c r="N644" i="21"/>
  <c r="L644" i="21"/>
  <c r="J644" i="21"/>
  <c r="H644" i="21"/>
  <c r="F644" i="21"/>
  <c r="D644" i="21"/>
  <c r="B644" i="21"/>
  <c r="R640" i="21"/>
  <c r="P640" i="21"/>
  <c r="N640" i="21"/>
  <c r="L640" i="21"/>
  <c r="J640" i="21"/>
  <c r="H640" i="21"/>
  <c r="F640" i="21"/>
  <c r="D640" i="21"/>
  <c r="B640" i="21"/>
  <c r="R636" i="21"/>
  <c r="P636" i="21"/>
  <c r="N636" i="21"/>
  <c r="L636" i="21"/>
  <c r="J636" i="21"/>
  <c r="H636" i="21"/>
  <c r="H648" i="21" s="1"/>
  <c r="F636" i="21"/>
  <c r="D636" i="21"/>
  <c r="B636" i="21"/>
  <c r="R629" i="21"/>
  <c r="X629" i="21" s="1"/>
  <c r="P629" i="21"/>
  <c r="N629" i="21"/>
  <c r="L629" i="21"/>
  <c r="J629" i="21"/>
  <c r="H629" i="21"/>
  <c r="F629" i="21"/>
  <c r="D629" i="21"/>
  <c r="B629" i="21"/>
  <c r="R625" i="21"/>
  <c r="P625" i="21"/>
  <c r="N625" i="21"/>
  <c r="L625" i="21"/>
  <c r="J625" i="21"/>
  <c r="H625" i="21"/>
  <c r="F625" i="21"/>
  <c r="D625" i="21"/>
  <c r="B625" i="21"/>
  <c r="R621" i="21"/>
  <c r="P621" i="21"/>
  <c r="N621" i="21"/>
  <c r="L621" i="21"/>
  <c r="J621" i="21"/>
  <c r="H621" i="21"/>
  <c r="H633" i="21" s="1"/>
  <c r="F621" i="21"/>
  <c r="D621" i="21"/>
  <c r="B621" i="21"/>
  <c r="L158" i="31"/>
  <c r="J158" i="31"/>
  <c r="H158" i="31"/>
  <c r="F158" i="31"/>
  <c r="D158" i="31"/>
  <c r="B158" i="31"/>
  <c r="L44" i="28"/>
  <c r="AD42" i="28" s="1"/>
  <c r="J44" i="28"/>
  <c r="AB42" i="28" s="1"/>
  <c r="H44" i="28"/>
  <c r="F44" i="28"/>
  <c r="X42" i="28" s="1"/>
  <c r="D44" i="28"/>
  <c r="V42" i="28" s="1"/>
  <c r="B44" i="28"/>
  <c r="T42" i="28" s="1"/>
  <c r="P43" i="28"/>
  <c r="N43" i="28"/>
  <c r="P41" i="28"/>
  <c r="N41" i="28"/>
  <c r="P39" i="28"/>
  <c r="N39" i="28"/>
  <c r="L116" i="27"/>
  <c r="AD116" i="27" s="1"/>
  <c r="J116" i="27"/>
  <c r="AB116" i="27" s="1"/>
  <c r="H116" i="27"/>
  <c r="Z116" i="27" s="1"/>
  <c r="F116" i="27"/>
  <c r="X116" i="27" s="1"/>
  <c r="D116" i="27"/>
  <c r="V116" i="27" s="1"/>
  <c r="B116" i="27"/>
  <c r="P115" i="27"/>
  <c r="N115" i="27"/>
  <c r="L172" i="26"/>
  <c r="J172" i="26"/>
  <c r="H172" i="26"/>
  <c r="F172" i="26"/>
  <c r="D172" i="26"/>
  <c r="B172" i="26"/>
  <c r="T40" i="28" s="1"/>
  <c r="P171" i="26"/>
  <c r="N171" i="26"/>
  <c r="P169" i="26"/>
  <c r="N169" i="26"/>
  <c r="P167" i="26"/>
  <c r="N167" i="26"/>
  <c r="R608" i="21"/>
  <c r="X608" i="21" s="1"/>
  <c r="P608" i="21"/>
  <c r="N608" i="21"/>
  <c r="L608" i="21"/>
  <c r="J608" i="21"/>
  <c r="H608" i="21"/>
  <c r="F608" i="21"/>
  <c r="D608" i="21"/>
  <c r="B608" i="21"/>
  <c r="R604" i="21"/>
  <c r="P604" i="21"/>
  <c r="N604" i="21"/>
  <c r="L604" i="21"/>
  <c r="J604" i="21"/>
  <c r="H604" i="21"/>
  <c r="F604" i="21"/>
  <c r="D604" i="21"/>
  <c r="B604" i="21"/>
  <c r="R600" i="21"/>
  <c r="P600" i="21"/>
  <c r="P612" i="21" s="1"/>
  <c r="N600" i="21"/>
  <c r="L600" i="21"/>
  <c r="J600" i="21"/>
  <c r="H600" i="21"/>
  <c r="H612" i="21" s="1"/>
  <c r="F600" i="21"/>
  <c r="D600" i="21"/>
  <c r="B600" i="21"/>
  <c r="R593" i="21"/>
  <c r="X593" i="21" s="1"/>
  <c r="P593" i="21"/>
  <c r="N593" i="21"/>
  <c r="L593" i="21"/>
  <c r="J593" i="21"/>
  <c r="H593" i="21"/>
  <c r="F593" i="21"/>
  <c r="D593" i="21"/>
  <c r="B593" i="21"/>
  <c r="R589" i="21"/>
  <c r="P589" i="21"/>
  <c r="N589" i="21"/>
  <c r="L589" i="21"/>
  <c r="J589" i="21"/>
  <c r="H589" i="21"/>
  <c r="F589" i="21"/>
  <c r="D589" i="21"/>
  <c r="B589" i="21"/>
  <c r="R585" i="21"/>
  <c r="P585" i="21"/>
  <c r="N585" i="21"/>
  <c r="N597" i="21" s="1"/>
  <c r="L585" i="21"/>
  <c r="J585" i="21"/>
  <c r="H585" i="21"/>
  <c r="F585" i="21"/>
  <c r="F597" i="21" s="1"/>
  <c r="D585" i="21"/>
  <c r="B585" i="21"/>
  <c r="L66" i="58"/>
  <c r="J66" i="58"/>
  <c r="H66" i="58"/>
  <c r="F66" i="58"/>
  <c r="D66" i="58"/>
  <c r="B66" i="58"/>
  <c r="L63" i="58"/>
  <c r="J63" i="58"/>
  <c r="H63" i="58"/>
  <c r="F63" i="58"/>
  <c r="D63" i="58"/>
  <c r="B63" i="58"/>
  <c r="L147" i="31"/>
  <c r="J147" i="31"/>
  <c r="H147" i="31"/>
  <c r="F147" i="31"/>
  <c r="D147" i="31"/>
  <c r="B147" i="31"/>
  <c r="L114" i="29"/>
  <c r="AB114" i="29" s="1"/>
  <c r="J114" i="29"/>
  <c r="Z114" i="29" s="1"/>
  <c r="H114" i="29"/>
  <c r="X114" i="29" s="1"/>
  <c r="F114" i="29"/>
  <c r="V114" i="29" s="1"/>
  <c r="D114" i="29"/>
  <c r="T114" i="29" s="1"/>
  <c r="B114" i="29"/>
  <c r="P113" i="29"/>
  <c r="N113" i="29"/>
  <c r="P112" i="29"/>
  <c r="N112" i="29"/>
  <c r="L108" i="27"/>
  <c r="AD108" i="27" s="1"/>
  <c r="J108" i="27"/>
  <c r="AB108" i="27" s="1"/>
  <c r="H108" i="27"/>
  <c r="Z108" i="27" s="1"/>
  <c r="F108" i="27"/>
  <c r="X108" i="27" s="1"/>
  <c r="D108" i="27"/>
  <c r="V108" i="27" s="1"/>
  <c r="B108" i="27"/>
  <c r="P107" i="27"/>
  <c r="N107" i="27"/>
  <c r="L160" i="26"/>
  <c r="AB160" i="26" s="1"/>
  <c r="J160" i="26"/>
  <c r="Z160" i="26" s="1"/>
  <c r="H160" i="26"/>
  <c r="F160" i="26"/>
  <c r="V160" i="26" s="1"/>
  <c r="D160" i="26"/>
  <c r="T160" i="26" s="1"/>
  <c r="B160" i="26"/>
  <c r="P159" i="26"/>
  <c r="N159" i="26"/>
  <c r="P157" i="26"/>
  <c r="N157" i="26"/>
  <c r="P155" i="26"/>
  <c r="N155" i="26"/>
  <c r="R572" i="21"/>
  <c r="P572" i="21"/>
  <c r="V572" i="21" s="1"/>
  <c r="N572" i="21"/>
  <c r="L572" i="21"/>
  <c r="J572" i="21"/>
  <c r="H572" i="21"/>
  <c r="F572" i="21"/>
  <c r="D572" i="21"/>
  <c r="B572" i="21"/>
  <c r="R568" i="21"/>
  <c r="X568" i="21" s="1"/>
  <c r="P568" i="21"/>
  <c r="N568" i="21"/>
  <c r="L568" i="21"/>
  <c r="J568" i="21"/>
  <c r="J576" i="21" s="1"/>
  <c r="H568" i="21"/>
  <c r="F568" i="21"/>
  <c r="D568" i="21"/>
  <c r="B568" i="21"/>
  <c r="R564" i="21"/>
  <c r="P564" i="21"/>
  <c r="N564" i="21"/>
  <c r="L564" i="21"/>
  <c r="L576" i="21" s="1"/>
  <c r="J564" i="21"/>
  <c r="H564" i="21"/>
  <c r="F564" i="21"/>
  <c r="D564" i="21"/>
  <c r="D576" i="21" s="1"/>
  <c r="B564" i="21"/>
  <c r="R557" i="21"/>
  <c r="P557" i="21"/>
  <c r="N557" i="21"/>
  <c r="L557" i="21"/>
  <c r="J557" i="21"/>
  <c r="H557" i="21"/>
  <c r="F557" i="21"/>
  <c r="D557" i="21"/>
  <c r="B557" i="21"/>
  <c r="R553" i="21"/>
  <c r="P553" i="21"/>
  <c r="V553" i="21" s="1"/>
  <c r="N553" i="21"/>
  <c r="L553" i="21"/>
  <c r="J553" i="21"/>
  <c r="H553" i="21"/>
  <c r="F553" i="21"/>
  <c r="D553" i="21"/>
  <c r="B553" i="21"/>
  <c r="R549" i="21"/>
  <c r="P549" i="21"/>
  <c r="N549" i="21"/>
  <c r="L549" i="21"/>
  <c r="J549" i="21"/>
  <c r="J561" i="21" s="1"/>
  <c r="H549" i="21"/>
  <c r="F549" i="21"/>
  <c r="D549" i="21"/>
  <c r="B549" i="21"/>
  <c r="B561" i="21" s="1"/>
  <c r="L55" i="58"/>
  <c r="J55" i="58"/>
  <c r="H55" i="58"/>
  <c r="F55" i="58"/>
  <c r="D55" i="58"/>
  <c r="B55" i="58"/>
  <c r="P53" i="58"/>
  <c r="N53" i="58"/>
  <c r="P51" i="58"/>
  <c r="N51" i="58"/>
  <c r="L45" i="58"/>
  <c r="J45" i="58"/>
  <c r="H45" i="58"/>
  <c r="F45" i="58"/>
  <c r="D45" i="58"/>
  <c r="B45" i="58"/>
  <c r="P43" i="58"/>
  <c r="N43" i="58"/>
  <c r="P41" i="58"/>
  <c r="N41" i="58"/>
  <c r="L35" i="58"/>
  <c r="J35" i="58"/>
  <c r="H35" i="58"/>
  <c r="F35" i="58"/>
  <c r="D35" i="58"/>
  <c r="B35" i="58"/>
  <c r="P33" i="58"/>
  <c r="N33" i="58"/>
  <c r="P31" i="58"/>
  <c r="N31" i="58"/>
  <c r="L25" i="58"/>
  <c r="J25" i="58"/>
  <c r="H25" i="58"/>
  <c r="F25" i="58"/>
  <c r="D25" i="58"/>
  <c r="B25" i="58"/>
  <c r="P23" i="58"/>
  <c r="N23" i="58"/>
  <c r="P21" i="58"/>
  <c r="N21" i="58"/>
  <c r="L136" i="31"/>
  <c r="J136" i="31"/>
  <c r="H136" i="31"/>
  <c r="F136" i="31"/>
  <c r="D136" i="31"/>
  <c r="B136" i="31"/>
  <c r="L125" i="31"/>
  <c r="J125" i="31"/>
  <c r="H125" i="31"/>
  <c r="F125" i="31"/>
  <c r="D125" i="31"/>
  <c r="B125" i="31"/>
  <c r="L114" i="31"/>
  <c r="J114" i="31"/>
  <c r="H114" i="31"/>
  <c r="F114" i="31"/>
  <c r="D114" i="31"/>
  <c r="B114" i="31"/>
  <c r="L103" i="31"/>
  <c r="J103" i="31"/>
  <c r="H103" i="31"/>
  <c r="F103" i="31"/>
  <c r="D103" i="31"/>
  <c r="B103" i="31"/>
  <c r="L103" i="29"/>
  <c r="AB103" i="29" s="1"/>
  <c r="J103" i="29"/>
  <c r="Z103" i="29" s="1"/>
  <c r="H103" i="29"/>
  <c r="X103" i="29" s="1"/>
  <c r="F103" i="29"/>
  <c r="V103" i="29" s="1"/>
  <c r="D103" i="29"/>
  <c r="T103" i="29" s="1"/>
  <c r="B103" i="29"/>
  <c r="P102" i="29"/>
  <c r="N102" i="29"/>
  <c r="P101" i="29"/>
  <c r="N101" i="29"/>
  <c r="L92" i="29"/>
  <c r="AB92" i="29" s="1"/>
  <c r="J92" i="29"/>
  <c r="Z92" i="29" s="1"/>
  <c r="H92" i="29"/>
  <c r="X92" i="29" s="1"/>
  <c r="F92" i="29"/>
  <c r="V92" i="29" s="1"/>
  <c r="D92" i="29"/>
  <c r="T92" i="29" s="1"/>
  <c r="B92" i="29"/>
  <c r="N92" i="29" s="1"/>
  <c r="P91" i="29"/>
  <c r="N91" i="29"/>
  <c r="R91" i="29" s="1"/>
  <c r="P90" i="29"/>
  <c r="N90" i="29"/>
  <c r="S69" i="73" l="1"/>
  <c r="P29" i="66"/>
  <c r="P30" i="66"/>
  <c r="D22" i="66"/>
  <c r="N108" i="27"/>
  <c r="T108" i="27"/>
  <c r="X40" i="28"/>
  <c r="V172" i="26"/>
  <c r="X44" i="28"/>
  <c r="N132" i="27"/>
  <c r="T132" i="27"/>
  <c r="R37" i="66"/>
  <c r="R44" i="66"/>
  <c r="L12" i="66"/>
  <c r="J21" i="66"/>
  <c r="F13" i="66"/>
  <c r="X600" i="21"/>
  <c r="V604" i="21"/>
  <c r="R167" i="26"/>
  <c r="R171" i="26"/>
  <c r="P172" i="26"/>
  <c r="Z40" i="28"/>
  <c r="X172" i="26"/>
  <c r="P44" i="28"/>
  <c r="Z42" i="28"/>
  <c r="Z44" i="28" s="1"/>
  <c r="P184" i="26"/>
  <c r="X184" i="26"/>
  <c r="P124" i="27"/>
  <c r="Z124" i="27"/>
  <c r="R189" i="26"/>
  <c r="L14" i="66"/>
  <c r="L22" i="66"/>
  <c r="Z113" i="58"/>
  <c r="P14" i="66"/>
  <c r="P13" i="66"/>
  <c r="N21" i="66"/>
  <c r="N22" i="66"/>
  <c r="B21" i="66"/>
  <c r="H14" i="66"/>
  <c r="N61" i="73"/>
  <c r="N61" i="70"/>
  <c r="F705" i="21"/>
  <c r="H720" i="21"/>
  <c r="R203" i="26"/>
  <c r="N140" i="27"/>
  <c r="T140" i="27"/>
  <c r="R69" i="66"/>
  <c r="B12" i="66"/>
  <c r="N12" i="66"/>
  <c r="P12" i="66"/>
  <c r="J14" i="66"/>
  <c r="J13" i="66"/>
  <c r="N28" i="66"/>
  <c r="P28" i="66"/>
  <c r="B22" i="66"/>
  <c r="R39" i="73"/>
  <c r="R40" i="73" s="1"/>
  <c r="R39" i="70"/>
  <c r="R40" i="70" s="1"/>
  <c r="R101" i="29"/>
  <c r="N103" i="29"/>
  <c r="F561" i="21"/>
  <c r="X557" i="21"/>
  <c r="H576" i="21"/>
  <c r="F576" i="21"/>
  <c r="N114" i="29"/>
  <c r="B597" i="21"/>
  <c r="J597" i="21"/>
  <c r="R597" i="21"/>
  <c r="D612" i="21"/>
  <c r="L612" i="21"/>
  <c r="AB40" i="28"/>
  <c r="Z172" i="26"/>
  <c r="N116" i="27"/>
  <c r="T116" i="27"/>
  <c r="T44" i="28"/>
  <c r="AB44" i="28"/>
  <c r="X621" i="21"/>
  <c r="V625" i="21"/>
  <c r="D648" i="21"/>
  <c r="L648" i="21"/>
  <c r="X640" i="21"/>
  <c r="N124" i="27"/>
  <c r="T124" i="27"/>
  <c r="R57" i="73"/>
  <c r="R58" i="73" s="1"/>
  <c r="R57" i="70"/>
  <c r="R58" i="70" s="1"/>
  <c r="N85" i="58"/>
  <c r="R85" i="58" s="1"/>
  <c r="P85" i="58"/>
  <c r="N101" i="58"/>
  <c r="F669" i="21"/>
  <c r="H684" i="21"/>
  <c r="R131" i="29"/>
  <c r="B705" i="21"/>
  <c r="J705" i="21"/>
  <c r="D720" i="21"/>
  <c r="L720" i="21"/>
  <c r="N208" i="26"/>
  <c r="R139" i="27"/>
  <c r="D12" i="66"/>
  <c r="N20" i="66"/>
  <c r="P20" i="66"/>
  <c r="R20" i="66" s="1"/>
  <c r="J30" i="66"/>
  <c r="N8" i="31"/>
  <c r="R155" i="26"/>
  <c r="R159" i="26"/>
  <c r="P160" i="26"/>
  <c r="X160" i="26"/>
  <c r="R169" i="26"/>
  <c r="V40" i="28"/>
  <c r="T172" i="26"/>
  <c r="AD40" i="28"/>
  <c r="AB172" i="26"/>
  <c r="V44" i="28"/>
  <c r="AD44" i="28"/>
  <c r="D633" i="21"/>
  <c r="L633" i="21"/>
  <c r="F57" i="73"/>
  <c r="F58" i="73" s="1"/>
  <c r="F57" i="70"/>
  <c r="F58" i="70" s="1"/>
  <c r="C61" i="73"/>
  <c r="C62" i="73" s="1"/>
  <c r="C61" i="70"/>
  <c r="C62" i="70" s="1"/>
  <c r="D705" i="21"/>
  <c r="L705" i="21"/>
  <c r="F720" i="21"/>
  <c r="Z123" i="58"/>
  <c r="B14" i="66"/>
  <c r="N14" i="66"/>
  <c r="N13" i="66"/>
  <c r="D14" i="66"/>
  <c r="P22" i="66"/>
  <c r="P21" i="66"/>
  <c r="N29" i="66"/>
  <c r="R29" i="66" s="1"/>
  <c r="N30" i="66"/>
  <c r="H30" i="66"/>
  <c r="L13" i="66"/>
  <c r="H20" i="66"/>
  <c r="H22" i="66"/>
  <c r="N14" i="31"/>
  <c r="P633" i="21"/>
  <c r="V621" i="21"/>
  <c r="P705" i="21"/>
  <c r="V693" i="21"/>
  <c r="N720" i="21"/>
  <c r="T720" i="21" s="1"/>
  <c r="T708" i="21"/>
  <c r="R720" i="21"/>
  <c r="X708" i="21"/>
  <c r="V549" i="21"/>
  <c r="T553" i="21"/>
  <c r="X553" i="21"/>
  <c r="V557" i="21"/>
  <c r="T564" i="21"/>
  <c r="X564" i="21"/>
  <c r="V568" i="21"/>
  <c r="T572" i="21"/>
  <c r="X572" i="21"/>
  <c r="T589" i="21"/>
  <c r="X589" i="21"/>
  <c r="T600" i="21"/>
  <c r="T608" i="21"/>
  <c r="T625" i="21"/>
  <c r="X625" i="21"/>
  <c r="V629" i="21"/>
  <c r="T636" i="21"/>
  <c r="X636" i="21"/>
  <c r="V640" i="21"/>
  <c r="T672" i="21"/>
  <c r="Z122" i="58"/>
  <c r="N561" i="21"/>
  <c r="T561" i="21" s="1"/>
  <c r="T549" i="21"/>
  <c r="R561" i="21"/>
  <c r="X549" i="21"/>
  <c r="P576" i="21"/>
  <c r="V564" i="21"/>
  <c r="N576" i="21"/>
  <c r="T568" i="21"/>
  <c r="P648" i="21"/>
  <c r="V636" i="21"/>
  <c r="N669" i="21"/>
  <c r="T669" i="21" s="1"/>
  <c r="T657" i="21"/>
  <c r="R669" i="21"/>
  <c r="X657" i="21"/>
  <c r="P684" i="21"/>
  <c r="V672" i="21"/>
  <c r="N705" i="21"/>
  <c r="T705" i="21" s="1"/>
  <c r="T693" i="21"/>
  <c r="R705" i="21"/>
  <c r="X705" i="21" s="1"/>
  <c r="X693" i="21"/>
  <c r="P720" i="21"/>
  <c r="V708" i="21"/>
  <c r="T557" i="21"/>
  <c r="T593" i="21"/>
  <c r="T604" i="21"/>
  <c r="X604" i="21"/>
  <c r="V608" i="21"/>
  <c r="T621" i="21"/>
  <c r="T640" i="21"/>
  <c r="V644" i="21"/>
  <c r="I62" i="76"/>
  <c r="I55" i="76"/>
  <c r="H70" i="76"/>
  <c r="H74" i="76" s="1"/>
  <c r="R8" i="31"/>
  <c r="N10" i="31"/>
  <c r="P10" i="31"/>
  <c r="P9" i="31"/>
  <c r="N9" i="31"/>
  <c r="W30" i="73"/>
  <c r="R43" i="28"/>
  <c r="V600" i="21"/>
  <c r="X585" i="21"/>
  <c r="V593" i="21"/>
  <c r="V589" i="21"/>
  <c r="V585" i="21"/>
  <c r="T585" i="21"/>
  <c r="P15" i="31"/>
  <c r="P13" i="31"/>
  <c r="N15" i="31"/>
  <c r="R14" i="31"/>
  <c r="N13" i="31"/>
  <c r="R39" i="28"/>
  <c r="K53" i="73" s="1"/>
  <c r="K53" i="70"/>
  <c r="K54" i="70" s="1"/>
  <c r="W46" i="73"/>
  <c r="S70" i="73"/>
  <c r="J29" i="66"/>
  <c r="H29" i="66"/>
  <c r="F29" i="66"/>
  <c r="D29" i="66"/>
  <c r="R53" i="66"/>
  <c r="B30" i="66"/>
  <c r="B29" i="66"/>
  <c r="R52" i="66"/>
  <c r="L28" i="66"/>
  <c r="J28" i="66"/>
  <c r="H28" i="66"/>
  <c r="F28" i="66"/>
  <c r="D28" i="66"/>
  <c r="R51" i="66"/>
  <c r="B28" i="66"/>
  <c r="P101" i="58"/>
  <c r="R101" i="58" s="1"/>
  <c r="N123" i="58"/>
  <c r="R123" i="58" s="1"/>
  <c r="D13" i="66"/>
  <c r="B13" i="66"/>
  <c r="R121" i="58"/>
  <c r="N63" i="58"/>
  <c r="R81" i="58"/>
  <c r="Z81" i="58" s="1"/>
  <c r="R83" i="58"/>
  <c r="D91" i="58"/>
  <c r="H91" i="58"/>
  <c r="L91" i="58"/>
  <c r="N97" i="58"/>
  <c r="B99" i="58"/>
  <c r="F99" i="58"/>
  <c r="J99" i="58"/>
  <c r="N113" i="58"/>
  <c r="N89" i="58"/>
  <c r="B91" i="58"/>
  <c r="F91" i="58"/>
  <c r="J91" i="58"/>
  <c r="F93" i="58"/>
  <c r="N93" i="58" s="1"/>
  <c r="J93" i="58"/>
  <c r="P93" i="58" s="1"/>
  <c r="P97" i="58"/>
  <c r="R97" i="58" s="1"/>
  <c r="D99" i="58"/>
  <c r="H99" i="58"/>
  <c r="L99" i="58"/>
  <c r="P123" i="58"/>
  <c r="R119" i="58"/>
  <c r="R186" i="31"/>
  <c r="R79" i="66"/>
  <c r="R77" i="66"/>
  <c r="R71" i="66"/>
  <c r="R61" i="66"/>
  <c r="R63" i="66"/>
  <c r="R78" i="66"/>
  <c r="R70" i="66"/>
  <c r="R62" i="66"/>
  <c r="R141" i="29"/>
  <c r="P147" i="29"/>
  <c r="R140" i="29"/>
  <c r="R142" i="29"/>
  <c r="N147" i="29"/>
  <c r="R147" i="29"/>
  <c r="R135" i="27"/>
  <c r="R137" i="27"/>
  <c r="P140" i="27"/>
  <c r="R199" i="26"/>
  <c r="R201" i="26"/>
  <c r="P208" i="26"/>
  <c r="R208" i="26" s="1"/>
  <c r="R111" i="58"/>
  <c r="P113" i="58"/>
  <c r="R109" i="58"/>
  <c r="R113" i="58"/>
  <c r="R175" i="31"/>
  <c r="R130" i="29"/>
  <c r="P136" i="29"/>
  <c r="R136" i="29" s="1"/>
  <c r="R127" i="27"/>
  <c r="R129" i="27"/>
  <c r="P132" i="27"/>
  <c r="R132" i="27" s="1"/>
  <c r="P196" i="26"/>
  <c r="N196" i="26"/>
  <c r="B684" i="21"/>
  <c r="F684" i="21"/>
  <c r="J684" i="21"/>
  <c r="Z112" i="58" s="1"/>
  <c r="N684" i="21"/>
  <c r="R684" i="21"/>
  <c r="X684" i="21" s="1"/>
  <c r="D669" i="21"/>
  <c r="H669" i="21"/>
  <c r="L669" i="21"/>
  <c r="P669" i="21"/>
  <c r="V669" i="21" s="1"/>
  <c r="R73" i="58"/>
  <c r="R75" i="58"/>
  <c r="R89" i="58"/>
  <c r="Z89" i="58" s="1"/>
  <c r="R77" i="58"/>
  <c r="P35" i="58"/>
  <c r="P63" i="58"/>
  <c r="N66" i="58"/>
  <c r="P66" i="58"/>
  <c r="N25" i="58"/>
  <c r="P25" i="58"/>
  <c r="N35" i="58"/>
  <c r="R35" i="58" s="1"/>
  <c r="R43" i="58"/>
  <c r="Z43" i="58" s="1"/>
  <c r="N45" i="58"/>
  <c r="R53" i="58"/>
  <c r="Z53" i="58" s="1"/>
  <c r="N55" i="58"/>
  <c r="R169" i="31"/>
  <c r="R123" i="29"/>
  <c r="P125" i="29"/>
  <c r="R125" i="29" s="1"/>
  <c r="R124" i="27"/>
  <c r="R123" i="27"/>
  <c r="R179" i="26"/>
  <c r="R183" i="26"/>
  <c r="N184" i="26"/>
  <c r="R184" i="26" s="1"/>
  <c r="B648" i="21"/>
  <c r="F648" i="21"/>
  <c r="J648" i="21"/>
  <c r="N648" i="21"/>
  <c r="R648" i="21"/>
  <c r="B633" i="21"/>
  <c r="F633" i="21"/>
  <c r="J633" i="21"/>
  <c r="N633" i="21"/>
  <c r="R633" i="21"/>
  <c r="R158" i="31"/>
  <c r="R41" i="28"/>
  <c r="N44" i="28"/>
  <c r="R115" i="27"/>
  <c r="P116" i="27"/>
  <c r="R116" i="27" s="1"/>
  <c r="N172" i="26"/>
  <c r="R172" i="26" s="1"/>
  <c r="B612" i="21"/>
  <c r="F612" i="21"/>
  <c r="J612" i="21"/>
  <c r="N612" i="21"/>
  <c r="R612" i="21"/>
  <c r="X612" i="21" s="1"/>
  <c r="D597" i="21"/>
  <c r="H597" i="21"/>
  <c r="L597" i="21"/>
  <c r="P597" i="21"/>
  <c r="V597" i="21" s="1"/>
  <c r="R21" i="58"/>
  <c r="R31" i="58"/>
  <c r="Z31" i="58" s="1"/>
  <c r="R23" i="58"/>
  <c r="R147" i="31"/>
  <c r="R112" i="29"/>
  <c r="R113" i="29"/>
  <c r="P114" i="29"/>
  <c r="R107" i="27"/>
  <c r="P108" i="27"/>
  <c r="R108" i="27" s="1"/>
  <c r="R157" i="26"/>
  <c r="N160" i="26"/>
  <c r="B576" i="21"/>
  <c r="R576" i="21"/>
  <c r="X576" i="21" s="1"/>
  <c r="D561" i="21"/>
  <c r="H561" i="21"/>
  <c r="L561" i="21"/>
  <c r="P561" i="21"/>
  <c r="V561" i="21" s="1"/>
  <c r="R51" i="58"/>
  <c r="Z51" i="58" s="1"/>
  <c r="P55" i="58"/>
  <c r="R41" i="58"/>
  <c r="Z41" i="58" s="1"/>
  <c r="P45" i="58"/>
  <c r="R33" i="58"/>
  <c r="Z33" i="58" s="1"/>
  <c r="R136" i="31"/>
  <c r="R125" i="31"/>
  <c r="R114" i="31"/>
  <c r="R103" i="31"/>
  <c r="R102" i="29"/>
  <c r="P103" i="29"/>
  <c r="R103" i="29" s="1"/>
  <c r="R90" i="29"/>
  <c r="P92" i="29"/>
  <c r="R92" i="29" s="1"/>
  <c r="L81" i="29"/>
  <c r="AB81" i="29" s="1"/>
  <c r="J81" i="29"/>
  <c r="Z81" i="29" s="1"/>
  <c r="H81" i="29"/>
  <c r="F81" i="29"/>
  <c r="V81" i="29" s="1"/>
  <c r="D81" i="29"/>
  <c r="T81" i="29" s="1"/>
  <c r="B81" i="29"/>
  <c r="P80" i="29"/>
  <c r="N80" i="29"/>
  <c r="P79" i="29"/>
  <c r="R79" i="29" s="1"/>
  <c r="N79" i="29"/>
  <c r="L36" i="28"/>
  <c r="AD34" i="28" s="1"/>
  <c r="J36" i="28"/>
  <c r="AB34" i="28" s="1"/>
  <c r="H36" i="28"/>
  <c r="Z34" i="28" s="1"/>
  <c r="F36" i="28"/>
  <c r="X34" i="28" s="1"/>
  <c r="D36" i="28"/>
  <c r="V34" i="28" s="1"/>
  <c r="B36" i="28"/>
  <c r="P35" i="28"/>
  <c r="N35" i="28"/>
  <c r="P33" i="28"/>
  <c r="N33" i="28"/>
  <c r="P31" i="28"/>
  <c r="N31" i="28"/>
  <c r="L100" i="27"/>
  <c r="AD100" i="27" s="1"/>
  <c r="J100" i="27"/>
  <c r="AB100" i="27" s="1"/>
  <c r="H100" i="27"/>
  <c r="Z100" i="27" s="1"/>
  <c r="F100" i="27"/>
  <c r="X100" i="27" s="1"/>
  <c r="D100" i="27"/>
  <c r="V100" i="27" s="1"/>
  <c r="B100" i="27"/>
  <c r="P99" i="27"/>
  <c r="N99" i="27"/>
  <c r="L92" i="27"/>
  <c r="AD92" i="27" s="1"/>
  <c r="J92" i="27"/>
  <c r="AB92" i="27" s="1"/>
  <c r="H92" i="27"/>
  <c r="F92" i="27"/>
  <c r="X92" i="27" s="1"/>
  <c r="D92" i="27"/>
  <c r="V92" i="27" s="1"/>
  <c r="B92" i="27"/>
  <c r="T92" i="27" s="1"/>
  <c r="P91" i="27"/>
  <c r="R91" i="27" s="1"/>
  <c r="N91" i="27"/>
  <c r="L84" i="27"/>
  <c r="AD84" i="27" s="1"/>
  <c r="J84" i="27"/>
  <c r="AB84" i="27" s="1"/>
  <c r="H84" i="27"/>
  <c r="Z84" i="27" s="1"/>
  <c r="F84" i="27"/>
  <c r="X84" i="27" s="1"/>
  <c r="D84" i="27"/>
  <c r="V84" i="27" s="1"/>
  <c r="B84" i="27"/>
  <c r="P83" i="27"/>
  <c r="N83" i="27"/>
  <c r="L76" i="27"/>
  <c r="AD76" i="27" s="1"/>
  <c r="J76" i="27"/>
  <c r="AB76" i="27" s="1"/>
  <c r="H76" i="27"/>
  <c r="Z76" i="27" s="1"/>
  <c r="F76" i="27"/>
  <c r="X76" i="27" s="1"/>
  <c r="D76" i="27"/>
  <c r="V76" i="27" s="1"/>
  <c r="B76" i="27"/>
  <c r="P75" i="27"/>
  <c r="N75" i="27"/>
  <c r="L148" i="26"/>
  <c r="AB148" i="26" s="1"/>
  <c r="J148" i="26"/>
  <c r="Z148" i="26" s="1"/>
  <c r="H148" i="26"/>
  <c r="X148" i="26" s="1"/>
  <c r="F148" i="26"/>
  <c r="V148" i="26" s="1"/>
  <c r="D148" i="26"/>
  <c r="T148" i="26" s="1"/>
  <c r="B148" i="26"/>
  <c r="P147" i="26"/>
  <c r="R147" i="26" s="1"/>
  <c r="N147" i="26"/>
  <c r="P145" i="26"/>
  <c r="R145" i="26" s="1"/>
  <c r="N145" i="26"/>
  <c r="P143" i="26"/>
  <c r="R143" i="26" s="1"/>
  <c r="N143" i="26"/>
  <c r="L136" i="26"/>
  <c r="AB136" i="26" s="1"/>
  <c r="J136" i="26"/>
  <c r="Z136" i="26" s="1"/>
  <c r="H136" i="26"/>
  <c r="F136" i="26"/>
  <c r="V136" i="26" s="1"/>
  <c r="D136" i="26"/>
  <c r="T136" i="26" s="1"/>
  <c r="B136" i="26"/>
  <c r="P135" i="26"/>
  <c r="R135" i="26" s="1"/>
  <c r="N135" i="26"/>
  <c r="P133" i="26"/>
  <c r="R133" i="26" s="1"/>
  <c r="N133" i="26"/>
  <c r="P131" i="26"/>
  <c r="R131" i="26" s="1"/>
  <c r="N131" i="26"/>
  <c r="L124" i="26"/>
  <c r="AB124" i="26" s="1"/>
  <c r="J124" i="26"/>
  <c r="Z124" i="26" s="1"/>
  <c r="H124" i="26"/>
  <c r="F124" i="26"/>
  <c r="V124" i="26" s="1"/>
  <c r="D124" i="26"/>
  <c r="T124" i="26" s="1"/>
  <c r="B124" i="26"/>
  <c r="P123" i="26"/>
  <c r="N123" i="26"/>
  <c r="P121" i="26"/>
  <c r="N121" i="26"/>
  <c r="P119" i="26"/>
  <c r="R119" i="26" s="1"/>
  <c r="N119" i="26"/>
  <c r="L112" i="26"/>
  <c r="J112" i="26"/>
  <c r="H112" i="26"/>
  <c r="F112" i="26"/>
  <c r="D112" i="26"/>
  <c r="B112" i="26"/>
  <c r="T32" i="28" s="1"/>
  <c r="P111" i="26"/>
  <c r="R111" i="26" s="1"/>
  <c r="N111" i="26"/>
  <c r="P109" i="26"/>
  <c r="R109" i="26" s="1"/>
  <c r="N109" i="26"/>
  <c r="P107" i="26"/>
  <c r="N107" i="26"/>
  <c r="R400" i="21"/>
  <c r="R399" i="21"/>
  <c r="P400" i="21"/>
  <c r="P399" i="21"/>
  <c r="N400" i="21"/>
  <c r="N399" i="21"/>
  <c r="L400" i="21"/>
  <c r="L399" i="21"/>
  <c r="J400" i="21"/>
  <c r="J399" i="21"/>
  <c r="H400" i="21"/>
  <c r="H399" i="21"/>
  <c r="F400" i="21"/>
  <c r="F399" i="21"/>
  <c r="D400" i="21"/>
  <c r="D399" i="21"/>
  <c r="B400" i="21"/>
  <c r="B399" i="21"/>
  <c r="R395" i="21"/>
  <c r="R394" i="21"/>
  <c r="R393" i="21"/>
  <c r="P395" i="21"/>
  <c r="P394" i="21"/>
  <c r="P393" i="21"/>
  <c r="N395" i="21"/>
  <c r="N394" i="21"/>
  <c r="T394" i="21" s="1"/>
  <c r="N393" i="21"/>
  <c r="L395" i="21"/>
  <c r="L394" i="21"/>
  <c r="L393" i="21"/>
  <c r="J395" i="21"/>
  <c r="J394" i="21"/>
  <c r="J393" i="21"/>
  <c r="J392" i="21" s="1"/>
  <c r="H395" i="21"/>
  <c r="H394" i="21"/>
  <c r="H393" i="21"/>
  <c r="F395" i="21"/>
  <c r="F394" i="21"/>
  <c r="F393" i="21"/>
  <c r="D395" i="21"/>
  <c r="D394" i="21"/>
  <c r="D393" i="21"/>
  <c r="B395" i="21"/>
  <c r="B393" i="21"/>
  <c r="R391" i="21"/>
  <c r="R390" i="21"/>
  <c r="R389" i="21"/>
  <c r="P391" i="21"/>
  <c r="P390" i="21"/>
  <c r="V390" i="21" s="1"/>
  <c r="P389" i="21"/>
  <c r="N391" i="21"/>
  <c r="N390" i="21"/>
  <c r="T390" i="21" s="1"/>
  <c r="N389" i="21"/>
  <c r="L391" i="21"/>
  <c r="L388" i="21" s="1"/>
  <c r="L390" i="21"/>
  <c r="L389" i="21"/>
  <c r="J391" i="21"/>
  <c r="J390" i="21"/>
  <c r="J389" i="21"/>
  <c r="H391" i="21"/>
  <c r="H390" i="21"/>
  <c r="H388" i="21" s="1"/>
  <c r="H389" i="21"/>
  <c r="F391" i="21"/>
  <c r="F390" i="21"/>
  <c r="F389" i="21"/>
  <c r="D391" i="21"/>
  <c r="D388" i="21" s="1"/>
  <c r="D390" i="21"/>
  <c r="D389" i="21"/>
  <c r="B391" i="21"/>
  <c r="B389" i="21"/>
  <c r="R387" i="21"/>
  <c r="R386" i="21"/>
  <c r="R385" i="21"/>
  <c r="P387" i="21"/>
  <c r="P386" i="21"/>
  <c r="P385" i="21"/>
  <c r="N387" i="21"/>
  <c r="N386" i="21"/>
  <c r="T386" i="21" s="1"/>
  <c r="N385" i="21"/>
  <c r="L387" i="21"/>
  <c r="L386" i="21"/>
  <c r="L385" i="21"/>
  <c r="J387" i="21"/>
  <c r="J386" i="21"/>
  <c r="J385" i="21"/>
  <c r="J384" i="21" s="1"/>
  <c r="H387" i="21"/>
  <c r="H386" i="21"/>
  <c r="H385" i="21"/>
  <c r="F387" i="21"/>
  <c r="F386" i="21"/>
  <c r="F385" i="21"/>
  <c r="D387" i="21"/>
  <c r="D386" i="21"/>
  <c r="D385" i="21"/>
  <c r="B387" i="21"/>
  <c r="B385" i="21"/>
  <c r="R380" i="21"/>
  <c r="R379" i="21"/>
  <c r="R378" i="21"/>
  <c r="P380" i="21"/>
  <c r="P379" i="21"/>
  <c r="V379" i="21" s="1"/>
  <c r="P378" i="21"/>
  <c r="N380" i="21"/>
  <c r="N379" i="21"/>
  <c r="T379" i="21" s="1"/>
  <c r="N378" i="21"/>
  <c r="L380" i="21"/>
  <c r="L377" i="21" s="1"/>
  <c r="L379" i="21"/>
  <c r="L378" i="21"/>
  <c r="J380" i="21"/>
  <c r="J379" i="21"/>
  <c r="J378" i="21"/>
  <c r="H380" i="21"/>
  <c r="H379" i="21"/>
  <c r="H378" i="21"/>
  <c r="F380" i="21"/>
  <c r="F379" i="21"/>
  <c r="F378" i="21"/>
  <c r="F377" i="21" s="1"/>
  <c r="D380" i="21"/>
  <c r="D379" i="21"/>
  <c r="D378" i="21"/>
  <c r="J377" i="21"/>
  <c r="B378" i="21"/>
  <c r="B377" i="21" s="1"/>
  <c r="R376" i="21"/>
  <c r="R375" i="21"/>
  <c r="R374" i="21"/>
  <c r="P376" i="21"/>
  <c r="P375" i="21"/>
  <c r="P374" i="21"/>
  <c r="N376" i="21"/>
  <c r="N375" i="21"/>
  <c r="N374" i="21"/>
  <c r="L376" i="21"/>
  <c r="L375" i="21"/>
  <c r="L374" i="21"/>
  <c r="J376" i="21"/>
  <c r="J375" i="21"/>
  <c r="J374" i="21"/>
  <c r="H376" i="21"/>
  <c r="H375" i="21"/>
  <c r="H374" i="21"/>
  <c r="H373" i="21" s="1"/>
  <c r="F376" i="21"/>
  <c r="F375" i="21"/>
  <c r="F374" i="21"/>
  <c r="D376" i="21"/>
  <c r="D375" i="21"/>
  <c r="D374" i="21"/>
  <c r="B376" i="21"/>
  <c r="B374" i="21"/>
  <c r="B373" i="21" s="1"/>
  <c r="R370" i="21"/>
  <c r="P370" i="21"/>
  <c r="V370" i="21" s="1"/>
  <c r="N370" i="21"/>
  <c r="L370" i="21"/>
  <c r="J370" i="21"/>
  <c r="H370" i="21"/>
  <c r="F370" i="21"/>
  <c r="D370" i="21"/>
  <c r="B372" i="21"/>
  <c r="B370" i="21"/>
  <c r="P392" i="21"/>
  <c r="N392" i="21"/>
  <c r="H392" i="21"/>
  <c r="F392" i="21"/>
  <c r="P388" i="21"/>
  <c r="N388" i="21"/>
  <c r="F388" i="21"/>
  <c r="P384" i="21"/>
  <c r="V384" i="21" s="1"/>
  <c r="N384" i="21"/>
  <c r="H384" i="21"/>
  <c r="F384" i="21"/>
  <c r="F396" i="21" s="1"/>
  <c r="P377" i="21"/>
  <c r="N377" i="21"/>
  <c r="T377" i="21" s="1"/>
  <c r="D377" i="21"/>
  <c r="P373" i="21"/>
  <c r="D373" i="21"/>
  <c r="R369" i="21"/>
  <c r="P369" i="21"/>
  <c r="N369" i="21"/>
  <c r="L369" i="21"/>
  <c r="J369" i="21"/>
  <c r="H369" i="21"/>
  <c r="F369" i="21"/>
  <c r="D369" i="21"/>
  <c r="R536" i="21"/>
  <c r="P536" i="21"/>
  <c r="N536" i="21"/>
  <c r="L536" i="21"/>
  <c r="J536" i="21"/>
  <c r="H536" i="21"/>
  <c r="F536" i="21"/>
  <c r="D536" i="21"/>
  <c r="B536" i="21"/>
  <c r="R532" i="21"/>
  <c r="P532" i="21"/>
  <c r="N532" i="21"/>
  <c r="L532" i="21"/>
  <c r="J532" i="21"/>
  <c r="H532" i="21"/>
  <c r="F532" i="21"/>
  <c r="D532" i="21"/>
  <c r="B532" i="21"/>
  <c r="R528" i="21"/>
  <c r="P528" i="21"/>
  <c r="N528" i="21"/>
  <c r="L528" i="21"/>
  <c r="J528" i="21"/>
  <c r="H528" i="21"/>
  <c r="F528" i="21"/>
  <c r="D528" i="21"/>
  <c r="B528" i="21"/>
  <c r="R521" i="21"/>
  <c r="P521" i="21"/>
  <c r="N521" i="21"/>
  <c r="L521" i="21"/>
  <c r="J521" i="21"/>
  <c r="H521" i="21"/>
  <c r="F521" i="21"/>
  <c r="D521" i="21"/>
  <c r="B521" i="21"/>
  <c r="R517" i="21"/>
  <c r="X517" i="21" s="1"/>
  <c r="P517" i="21"/>
  <c r="N517" i="21"/>
  <c r="L517" i="21"/>
  <c r="J517" i="21"/>
  <c r="H517" i="21"/>
  <c r="F517" i="21"/>
  <c r="D517" i="21"/>
  <c r="B517" i="21"/>
  <c r="R513" i="21"/>
  <c r="P513" i="21"/>
  <c r="N513" i="21"/>
  <c r="L513" i="21"/>
  <c r="J513" i="21"/>
  <c r="H513" i="21"/>
  <c r="F513" i="21"/>
  <c r="D513" i="21"/>
  <c r="B513" i="21"/>
  <c r="R500" i="21"/>
  <c r="P500" i="21"/>
  <c r="N500" i="21"/>
  <c r="L500" i="21"/>
  <c r="J500" i="21"/>
  <c r="H500" i="21"/>
  <c r="F500" i="21"/>
  <c r="D500" i="21"/>
  <c r="B500" i="21"/>
  <c r="R496" i="21"/>
  <c r="P496" i="21"/>
  <c r="V496" i="21" s="1"/>
  <c r="N496" i="21"/>
  <c r="L496" i="21"/>
  <c r="J496" i="21"/>
  <c r="H496" i="21"/>
  <c r="F496" i="21"/>
  <c r="D496" i="21"/>
  <c r="B496" i="21"/>
  <c r="R492" i="21"/>
  <c r="P492" i="21"/>
  <c r="N492" i="21"/>
  <c r="L492" i="21"/>
  <c r="J492" i="21"/>
  <c r="H492" i="21"/>
  <c r="F492" i="21"/>
  <c r="D492" i="21"/>
  <c r="B492" i="21"/>
  <c r="R485" i="21"/>
  <c r="P485" i="21"/>
  <c r="N485" i="21"/>
  <c r="L485" i="21"/>
  <c r="J485" i="21"/>
  <c r="H485" i="21"/>
  <c r="F485" i="21"/>
  <c r="D485" i="21"/>
  <c r="B485" i="21"/>
  <c r="R481" i="21"/>
  <c r="P481" i="21"/>
  <c r="N481" i="21"/>
  <c r="L481" i="21"/>
  <c r="J481" i="21"/>
  <c r="H481" i="21"/>
  <c r="F481" i="21"/>
  <c r="D481" i="21"/>
  <c r="B481" i="21"/>
  <c r="R477" i="21"/>
  <c r="P477" i="21"/>
  <c r="V477" i="21" s="1"/>
  <c r="N477" i="21"/>
  <c r="L477" i="21"/>
  <c r="J477" i="21"/>
  <c r="H477" i="21"/>
  <c r="F477" i="21"/>
  <c r="D477" i="21"/>
  <c r="B477" i="21"/>
  <c r="R464" i="21"/>
  <c r="P464" i="21"/>
  <c r="N464" i="21"/>
  <c r="L464" i="21"/>
  <c r="J464" i="21"/>
  <c r="H464" i="21"/>
  <c r="F464" i="21"/>
  <c r="D464" i="21"/>
  <c r="B464" i="21"/>
  <c r="R460" i="21"/>
  <c r="P460" i="21"/>
  <c r="N460" i="21"/>
  <c r="L460" i="21"/>
  <c r="J460" i="21"/>
  <c r="H460" i="21"/>
  <c r="F460" i="21"/>
  <c r="D460" i="21"/>
  <c r="B460" i="21"/>
  <c r="R456" i="21"/>
  <c r="P456" i="21"/>
  <c r="N456" i="21"/>
  <c r="L456" i="21"/>
  <c r="J456" i="21"/>
  <c r="H456" i="21"/>
  <c r="F456" i="21"/>
  <c r="D456" i="21"/>
  <c r="B456" i="21"/>
  <c r="R449" i="21"/>
  <c r="P449" i="21"/>
  <c r="N449" i="21"/>
  <c r="L449" i="21"/>
  <c r="J449" i="21"/>
  <c r="H449" i="21"/>
  <c r="F449" i="21"/>
  <c r="D449" i="21"/>
  <c r="B449" i="21"/>
  <c r="R445" i="21"/>
  <c r="X445" i="21" s="1"/>
  <c r="P445" i="21"/>
  <c r="N445" i="21"/>
  <c r="L445" i="21"/>
  <c r="J445" i="21"/>
  <c r="H445" i="21"/>
  <c r="F445" i="21"/>
  <c r="D445" i="21"/>
  <c r="B445" i="21"/>
  <c r="R441" i="21"/>
  <c r="P441" i="21"/>
  <c r="N441" i="21"/>
  <c r="L441" i="21"/>
  <c r="J441" i="21"/>
  <c r="H441" i="21"/>
  <c r="F441" i="21"/>
  <c r="D441" i="21"/>
  <c r="B441" i="21"/>
  <c r="R428" i="21"/>
  <c r="P428" i="21"/>
  <c r="N428" i="21"/>
  <c r="T428" i="21" s="1"/>
  <c r="L428" i="21"/>
  <c r="J428" i="21"/>
  <c r="H428" i="21"/>
  <c r="F428" i="21"/>
  <c r="D428" i="21"/>
  <c r="R424" i="21"/>
  <c r="P424" i="21"/>
  <c r="N424" i="21"/>
  <c r="T424" i="21" s="1"/>
  <c r="L424" i="21"/>
  <c r="J424" i="21"/>
  <c r="H424" i="21"/>
  <c r="F424" i="21"/>
  <c r="D424" i="21"/>
  <c r="R420" i="21"/>
  <c r="P420" i="21"/>
  <c r="N420" i="21"/>
  <c r="T420" i="21" s="1"/>
  <c r="L420" i="21"/>
  <c r="L432" i="21" s="1"/>
  <c r="J420" i="21"/>
  <c r="H420" i="21"/>
  <c r="H432" i="21" s="1"/>
  <c r="F420" i="21"/>
  <c r="D420" i="21"/>
  <c r="D432" i="21" s="1"/>
  <c r="R413" i="21"/>
  <c r="P413" i="21"/>
  <c r="N413" i="21"/>
  <c r="L413" i="21"/>
  <c r="J413" i="21"/>
  <c r="H413" i="21"/>
  <c r="F413" i="21"/>
  <c r="D413" i="21"/>
  <c r="B413" i="21"/>
  <c r="R409" i="21"/>
  <c r="P409" i="21"/>
  <c r="V409" i="21" s="1"/>
  <c r="N409" i="21"/>
  <c r="L409" i="21"/>
  <c r="J409" i="21"/>
  <c r="H409" i="21"/>
  <c r="F409" i="21"/>
  <c r="D409" i="21"/>
  <c r="B409" i="21"/>
  <c r="R405" i="21"/>
  <c r="P405" i="21"/>
  <c r="N405" i="21"/>
  <c r="L405" i="21"/>
  <c r="J405" i="21"/>
  <c r="H405" i="21"/>
  <c r="F405" i="21"/>
  <c r="D405" i="21"/>
  <c r="B405" i="21"/>
  <c r="N9" i="58"/>
  <c r="P9" i="58"/>
  <c r="N10" i="58"/>
  <c r="P10" i="58"/>
  <c r="N11" i="58"/>
  <c r="P11" i="58"/>
  <c r="N12" i="58"/>
  <c r="P12" i="58"/>
  <c r="N13" i="58"/>
  <c r="P13" i="58"/>
  <c r="N14" i="58"/>
  <c r="P14" i="58"/>
  <c r="N15" i="58"/>
  <c r="P15" i="58"/>
  <c r="P8" i="58"/>
  <c r="N8" i="58"/>
  <c r="L92" i="31"/>
  <c r="J92" i="31"/>
  <c r="H92" i="31"/>
  <c r="F92" i="31"/>
  <c r="D92" i="31"/>
  <c r="B92" i="31"/>
  <c r="L81" i="31"/>
  <c r="J81" i="31"/>
  <c r="H81" i="31"/>
  <c r="F81" i="31"/>
  <c r="D81" i="31"/>
  <c r="B81" i="31"/>
  <c r="L70" i="31"/>
  <c r="J70" i="31"/>
  <c r="H70" i="31"/>
  <c r="F70" i="31"/>
  <c r="D70" i="31"/>
  <c r="B70" i="31"/>
  <c r="L59" i="31"/>
  <c r="J59" i="31"/>
  <c r="H59" i="31"/>
  <c r="F59" i="31"/>
  <c r="D59" i="31"/>
  <c r="B59" i="31"/>
  <c r="L48" i="31"/>
  <c r="J48" i="31"/>
  <c r="H48" i="31"/>
  <c r="F48" i="31"/>
  <c r="D48" i="31"/>
  <c r="B48" i="31"/>
  <c r="L37" i="31"/>
  <c r="J37" i="31"/>
  <c r="H37" i="31"/>
  <c r="F37" i="31"/>
  <c r="D37" i="31"/>
  <c r="B37" i="31"/>
  <c r="B26" i="31"/>
  <c r="L26" i="31"/>
  <c r="J26" i="31"/>
  <c r="H26" i="31"/>
  <c r="F26" i="31"/>
  <c r="D26" i="31"/>
  <c r="L70" i="29"/>
  <c r="AB70" i="29" s="1"/>
  <c r="J70" i="29"/>
  <c r="Z70" i="29" s="1"/>
  <c r="H70" i="29"/>
  <c r="F70" i="29"/>
  <c r="V70" i="29" s="1"/>
  <c r="D70" i="29"/>
  <c r="T70" i="29" s="1"/>
  <c r="B70" i="29"/>
  <c r="P69" i="29"/>
  <c r="N69" i="29"/>
  <c r="P68" i="29"/>
  <c r="R68" i="29" s="1"/>
  <c r="N68" i="29"/>
  <c r="L59" i="29"/>
  <c r="AB59" i="29" s="1"/>
  <c r="J59" i="29"/>
  <c r="Z59" i="29" s="1"/>
  <c r="H59" i="29"/>
  <c r="F59" i="29"/>
  <c r="V59" i="29" s="1"/>
  <c r="D59" i="29"/>
  <c r="T59" i="29" s="1"/>
  <c r="B59" i="29"/>
  <c r="P58" i="29"/>
  <c r="N58" i="29"/>
  <c r="P57" i="29"/>
  <c r="N57" i="29"/>
  <c r="L48" i="29"/>
  <c r="AB48" i="29" s="1"/>
  <c r="J48" i="29"/>
  <c r="Z48" i="29" s="1"/>
  <c r="H48" i="29"/>
  <c r="X48" i="29" s="1"/>
  <c r="F48" i="29"/>
  <c r="V48" i="29" s="1"/>
  <c r="D48" i="29"/>
  <c r="T48" i="29" s="1"/>
  <c r="B48" i="29"/>
  <c r="P47" i="29"/>
  <c r="N47" i="29"/>
  <c r="R47" i="29" s="1"/>
  <c r="P46" i="29"/>
  <c r="N46" i="29"/>
  <c r="L37" i="29"/>
  <c r="AB37" i="29" s="1"/>
  <c r="J37" i="29"/>
  <c r="Z37" i="29" s="1"/>
  <c r="H37" i="29"/>
  <c r="X37" i="29" s="1"/>
  <c r="F37" i="29"/>
  <c r="V37" i="29" s="1"/>
  <c r="D37" i="29"/>
  <c r="T37" i="29" s="1"/>
  <c r="B37" i="29"/>
  <c r="P36" i="29"/>
  <c r="N36" i="29"/>
  <c r="P35" i="29"/>
  <c r="N35" i="29"/>
  <c r="L26" i="29"/>
  <c r="AB26" i="29" s="1"/>
  <c r="J26" i="29"/>
  <c r="Z26" i="29" s="1"/>
  <c r="H26" i="29"/>
  <c r="X26" i="29" s="1"/>
  <c r="F26" i="29"/>
  <c r="V26" i="29" s="1"/>
  <c r="D26" i="29"/>
  <c r="T26" i="29" s="1"/>
  <c r="B26" i="29"/>
  <c r="P25" i="29"/>
  <c r="R25" i="29" s="1"/>
  <c r="N25" i="29"/>
  <c r="P24" i="29"/>
  <c r="N24" i="29"/>
  <c r="L28" i="28"/>
  <c r="AD26" i="28" s="1"/>
  <c r="J28" i="28"/>
  <c r="AB26" i="28" s="1"/>
  <c r="H28" i="28"/>
  <c r="Z26" i="28" s="1"/>
  <c r="F28" i="28"/>
  <c r="X26" i="28" s="1"/>
  <c r="D28" i="28"/>
  <c r="V26" i="28" s="1"/>
  <c r="B28" i="28"/>
  <c r="P27" i="28"/>
  <c r="N27" i="28"/>
  <c r="R27" i="28" s="1"/>
  <c r="P25" i="28"/>
  <c r="N25" i="28"/>
  <c r="P23" i="28"/>
  <c r="N23" i="28"/>
  <c r="R23" i="28" s="1"/>
  <c r="P15" i="28"/>
  <c r="R15" i="28" s="1"/>
  <c r="N15" i="28"/>
  <c r="L20" i="28"/>
  <c r="AD18" i="28" s="1"/>
  <c r="J20" i="28"/>
  <c r="AB18" i="28" s="1"/>
  <c r="H20" i="28"/>
  <c r="F20" i="28"/>
  <c r="X18" i="28" s="1"/>
  <c r="D20" i="28"/>
  <c r="V18" i="28" s="1"/>
  <c r="B20" i="28"/>
  <c r="P19" i="28"/>
  <c r="N19" i="28"/>
  <c r="P17" i="28"/>
  <c r="N17" i="28"/>
  <c r="L68" i="27"/>
  <c r="AD68" i="27" s="1"/>
  <c r="J68" i="27"/>
  <c r="AB68" i="27" s="1"/>
  <c r="H68" i="27"/>
  <c r="F68" i="27"/>
  <c r="X68" i="27" s="1"/>
  <c r="D68" i="27"/>
  <c r="V68" i="27" s="1"/>
  <c r="B68" i="27"/>
  <c r="T68" i="27" s="1"/>
  <c r="P67" i="27"/>
  <c r="N67" i="27"/>
  <c r="L60" i="27"/>
  <c r="AD60" i="27" s="1"/>
  <c r="J60" i="27"/>
  <c r="AB60" i="27" s="1"/>
  <c r="H60" i="27"/>
  <c r="Z60" i="27" s="1"/>
  <c r="F60" i="27"/>
  <c r="X60" i="27" s="1"/>
  <c r="D60" i="27"/>
  <c r="V60" i="27" s="1"/>
  <c r="B60" i="27"/>
  <c r="P59" i="27"/>
  <c r="N59" i="27"/>
  <c r="R59" i="27" s="1"/>
  <c r="L52" i="27"/>
  <c r="AD52" i="27" s="1"/>
  <c r="J52" i="27"/>
  <c r="AB52" i="27" s="1"/>
  <c r="H52" i="27"/>
  <c r="Z52" i="27" s="1"/>
  <c r="F52" i="27"/>
  <c r="X52" i="27" s="1"/>
  <c r="D52" i="27"/>
  <c r="V52" i="27" s="1"/>
  <c r="B52" i="27"/>
  <c r="P51" i="27"/>
  <c r="N51" i="27"/>
  <c r="L44" i="27"/>
  <c r="AD44" i="27" s="1"/>
  <c r="J44" i="27"/>
  <c r="AB44" i="27" s="1"/>
  <c r="H44" i="27"/>
  <c r="Z44" i="27" s="1"/>
  <c r="F44" i="27"/>
  <c r="X44" i="27" s="1"/>
  <c r="D44" i="27"/>
  <c r="V44" i="27" s="1"/>
  <c r="B44" i="27"/>
  <c r="P43" i="27"/>
  <c r="N43" i="27"/>
  <c r="L36" i="27"/>
  <c r="AD36" i="27" s="1"/>
  <c r="J36" i="27"/>
  <c r="AB36" i="27" s="1"/>
  <c r="H36" i="27"/>
  <c r="Z36" i="27" s="1"/>
  <c r="F36" i="27"/>
  <c r="X36" i="27" s="1"/>
  <c r="D36" i="27"/>
  <c r="V36" i="27" s="1"/>
  <c r="B36" i="27"/>
  <c r="P35" i="27"/>
  <c r="N35" i="27"/>
  <c r="R35" i="27" s="1"/>
  <c r="P19" i="27"/>
  <c r="N19" i="27"/>
  <c r="L28" i="27"/>
  <c r="AD28" i="27" s="1"/>
  <c r="J28" i="27"/>
  <c r="AB28" i="27" s="1"/>
  <c r="H28" i="27"/>
  <c r="F28" i="27"/>
  <c r="X28" i="27" s="1"/>
  <c r="D28" i="27"/>
  <c r="B28" i="27"/>
  <c r="T28" i="27" s="1"/>
  <c r="P27" i="27"/>
  <c r="R27" i="27" s="1"/>
  <c r="N27" i="27"/>
  <c r="L20" i="27"/>
  <c r="AD20" i="27" s="1"/>
  <c r="J20" i="27"/>
  <c r="AB20" i="27" s="1"/>
  <c r="H20" i="27"/>
  <c r="F20" i="27"/>
  <c r="X20" i="27" s="1"/>
  <c r="D20" i="27"/>
  <c r="V20" i="27" s="1"/>
  <c r="B20" i="27"/>
  <c r="R19" i="27"/>
  <c r="L100" i="26"/>
  <c r="J100" i="26"/>
  <c r="H100" i="26"/>
  <c r="F100" i="26"/>
  <c r="D100" i="26"/>
  <c r="B100" i="26"/>
  <c r="T24" i="28" s="1"/>
  <c r="P99" i="26"/>
  <c r="N99" i="26"/>
  <c r="P97" i="26"/>
  <c r="R97" i="26" s="1"/>
  <c r="N97" i="26"/>
  <c r="P95" i="26"/>
  <c r="N95" i="26"/>
  <c r="L88" i="26"/>
  <c r="AB88" i="26" s="1"/>
  <c r="J88" i="26"/>
  <c r="Z88" i="26" s="1"/>
  <c r="H88" i="26"/>
  <c r="F88" i="26"/>
  <c r="V88" i="26" s="1"/>
  <c r="D88" i="26"/>
  <c r="T88" i="26" s="1"/>
  <c r="B88" i="26"/>
  <c r="P87" i="26"/>
  <c r="N87" i="26"/>
  <c r="P85" i="26"/>
  <c r="R85" i="26" s="1"/>
  <c r="N85" i="26"/>
  <c r="P83" i="26"/>
  <c r="N83" i="26"/>
  <c r="L76" i="26"/>
  <c r="AB76" i="26" s="1"/>
  <c r="J76" i="26"/>
  <c r="Z76" i="26" s="1"/>
  <c r="H76" i="26"/>
  <c r="F76" i="26"/>
  <c r="V76" i="26" s="1"/>
  <c r="D76" i="26"/>
  <c r="T76" i="26" s="1"/>
  <c r="B76" i="26"/>
  <c r="P75" i="26"/>
  <c r="N75" i="26"/>
  <c r="P73" i="26"/>
  <c r="R73" i="26" s="1"/>
  <c r="N73" i="26"/>
  <c r="P71" i="26"/>
  <c r="N71" i="26"/>
  <c r="L64" i="26"/>
  <c r="AB64" i="26" s="1"/>
  <c r="J64" i="26"/>
  <c r="Z64" i="26" s="1"/>
  <c r="H64" i="26"/>
  <c r="F64" i="26"/>
  <c r="V64" i="26" s="1"/>
  <c r="D64" i="26"/>
  <c r="T64" i="26" s="1"/>
  <c r="B64" i="26"/>
  <c r="P63" i="26"/>
  <c r="N63" i="26"/>
  <c r="P61" i="26"/>
  <c r="R61" i="26" s="1"/>
  <c r="N61" i="26"/>
  <c r="P59" i="26"/>
  <c r="N59" i="26"/>
  <c r="L52" i="26"/>
  <c r="AB52" i="26" s="1"/>
  <c r="J52" i="26"/>
  <c r="Z52" i="26" s="1"/>
  <c r="H52" i="26"/>
  <c r="F52" i="26"/>
  <c r="V52" i="26" s="1"/>
  <c r="D52" i="26"/>
  <c r="T52" i="26" s="1"/>
  <c r="B52" i="26"/>
  <c r="P51" i="26"/>
  <c r="N51" i="26"/>
  <c r="P49" i="26"/>
  <c r="N49" i="26"/>
  <c r="P47" i="26"/>
  <c r="N47" i="26"/>
  <c r="L40" i="26"/>
  <c r="AB40" i="26" s="1"/>
  <c r="J40" i="26"/>
  <c r="Z40" i="26" s="1"/>
  <c r="H40" i="26"/>
  <c r="F40" i="26"/>
  <c r="V40" i="26" s="1"/>
  <c r="D40" i="26"/>
  <c r="T40" i="26" s="1"/>
  <c r="B40" i="26"/>
  <c r="P39" i="26"/>
  <c r="N39" i="26"/>
  <c r="P37" i="26"/>
  <c r="R37" i="26" s="1"/>
  <c r="N37" i="26"/>
  <c r="P35" i="26"/>
  <c r="N35" i="26"/>
  <c r="P23" i="26"/>
  <c r="R23" i="26" s="1"/>
  <c r="N23" i="26"/>
  <c r="L28" i="26"/>
  <c r="J28" i="26"/>
  <c r="H28" i="26"/>
  <c r="F28" i="26"/>
  <c r="D28" i="26"/>
  <c r="B28" i="26"/>
  <c r="T16" i="28" s="1"/>
  <c r="P27" i="26"/>
  <c r="R27" i="26" s="1"/>
  <c r="N27" i="26"/>
  <c r="P25" i="26"/>
  <c r="N25" i="26"/>
  <c r="L76" i="21"/>
  <c r="L40" i="21" s="1"/>
  <c r="L75" i="21"/>
  <c r="L39" i="21" s="1"/>
  <c r="J76" i="21"/>
  <c r="J75" i="21"/>
  <c r="J39" i="21" s="1"/>
  <c r="H76" i="21"/>
  <c r="H40" i="21" s="1"/>
  <c r="H75" i="21"/>
  <c r="H39" i="21" s="1"/>
  <c r="F76" i="21"/>
  <c r="F75" i="21"/>
  <c r="F39" i="21" s="1"/>
  <c r="D76" i="21"/>
  <c r="D40" i="21" s="1"/>
  <c r="D75" i="21"/>
  <c r="D39" i="21" s="1"/>
  <c r="B76" i="21"/>
  <c r="B75" i="21"/>
  <c r="R71" i="21"/>
  <c r="R70" i="21"/>
  <c r="R69" i="21"/>
  <c r="P71" i="21"/>
  <c r="P35" i="21" s="1"/>
  <c r="P70" i="21"/>
  <c r="P68" i="21" s="1"/>
  <c r="P69" i="21"/>
  <c r="N71" i="21"/>
  <c r="N70" i="21"/>
  <c r="N69" i="21"/>
  <c r="L71" i="21"/>
  <c r="L35" i="21" s="1"/>
  <c r="L70" i="21"/>
  <c r="L69" i="21"/>
  <c r="J71" i="21"/>
  <c r="J70" i="21"/>
  <c r="J34" i="21" s="1"/>
  <c r="J69" i="21"/>
  <c r="H71" i="21"/>
  <c r="H35" i="21" s="1"/>
  <c r="H70" i="21"/>
  <c r="H34" i="21" s="1"/>
  <c r="H69" i="21"/>
  <c r="H33" i="21" s="1"/>
  <c r="F71" i="21"/>
  <c r="F70" i="21"/>
  <c r="F34" i="21" s="1"/>
  <c r="F69" i="21"/>
  <c r="F33" i="21" s="1"/>
  <c r="D71" i="21"/>
  <c r="D35" i="21" s="1"/>
  <c r="D70" i="21"/>
  <c r="D69" i="21"/>
  <c r="B70" i="21"/>
  <c r="B71" i="21"/>
  <c r="B35" i="21" s="1"/>
  <c r="B69" i="21"/>
  <c r="B33" i="21" s="1"/>
  <c r="R67" i="21"/>
  <c r="R66" i="21"/>
  <c r="R65" i="21"/>
  <c r="P67" i="21"/>
  <c r="P66" i="21"/>
  <c r="P65" i="21"/>
  <c r="P64" i="21" s="1"/>
  <c r="N67" i="21"/>
  <c r="N66" i="21"/>
  <c r="N65" i="21"/>
  <c r="L67" i="21"/>
  <c r="L31" i="21" s="1"/>
  <c r="L66" i="21"/>
  <c r="L30" i="21" s="1"/>
  <c r="L65" i="21"/>
  <c r="L29" i="21" s="1"/>
  <c r="J67" i="21"/>
  <c r="J31" i="21" s="1"/>
  <c r="J66" i="21"/>
  <c r="J65" i="21"/>
  <c r="J29" i="21" s="1"/>
  <c r="H67" i="21"/>
  <c r="H31" i="21" s="1"/>
  <c r="H66" i="21"/>
  <c r="H30" i="21" s="1"/>
  <c r="H65" i="21"/>
  <c r="F67" i="21"/>
  <c r="F31" i="21" s="1"/>
  <c r="F66" i="21"/>
  <c r="F65" i="21"/>
  <c r="F29" i="21" s="1"/>
  <c r="D67" i="21"/>
  <c r="D66" i="21"/>
  <c r="D30" i="21" s="1"/>
  <c r="D65" i="21"/>
  <c r="D29" i="21" s="1"/>
  <c r="B66" i="21"/>
  <c r="B30" i="21" s="1"/>
  <c r="B67" i="21"/>
  <c r="B31" i="21" s="1"/>
  <c r="B65" i="21"/>
  <c r="R63" i="21"/>
  <c r="R62" i="21"/>
  <c r="R61" i="21"/>
  <c r="R60" i="21" s="1"/>
  <c r="X60" i="21" s="1"/>
  <c r="P63" i="21"/>
  <c r="P62" i="21"/>
  <c r="P61" i="21"/>
  <c r="P60" i="21" s="1"/>
  <c r="N63" i="21"/>
  <c r="N60" i="21" s="1"/>
  <c r="N62" i="21"/>
  <c r="N61" i="21"/>
  <c r="L63" i="21"/>
  <c r="L27" i="21" s="1"/>
  <c r="L62" i="21"/>
  <c r="L26" i="21" s="1"/>
  <c r="L61" i="21"/>
  <c r="J63" i="21"/>
  <c r="J27" i="21" s="1"/>
  <c r="J62" i="21"/>
  <c r="J26" i="21" s="1"/>
  <c r="J61" i="21"/>
  <c r="J25" i="21" s="1"/>
  <c r="H63" i="21"/>
  <c r="H62" i="21"/>
  <c r="H26" i="21" s="1"/>
  <c r="H61" i="21"/>
  <c r="F63" i="21"/>
  <c r="F62" i="21"/>
  <c r="F61" i="21"/>
  <c r="F25" i="21" s="1"/>
  <c r="D63" i="21"/>
  <c r="D27" i="21" s="1"/>
  <c r="D62" i="21"/>
  <c r="D26" i="21" s="1"/>
  <c r="D61" i="21"/>
  <c r="B62" i="21"/>
  <c r="B26" i="21" s="1"/>
  <c r="B63" i="21"/>
  <c r="B27" i="21" s="1"/>
  <c r="B61" i="21"/>
  <c r="B25" i="21" s="1"/>
  <c r="R56" i="21"/>
  <c r="R55" i="21"/>
  <c r="R54" i="21"/>
  <c r="R53" i="21" s="1"/>
  <c r="P56" i="21"/>
  <c r="P55" i="21"/>
  <c r="P54" i="21"/>
  <c r="N56" i="21"/>
  <c r="N20" i="21" s="1"/>
  <c r="N55" i="21"/>
  <c r="N53" i="21" s="1"/>
  <c r="N54" i="21"/>
  <c r="L56" i="21"/>
  <c r="L55" i="21"/>
  <c r="L19" i="21" s="1"/>
  <c r="L54" i="21"/>
  <c r="L18" i="21" s="1"/>
  <c r="J56" i="21"/>
  <c r="J55" i="21"/>
  <c r="J54" i="21"/>
  <c r="J18" i="21" s="1"/>
  <c r="H56" i="21"/>
  <c r="H55" i="21"/>
  <c r="H54" i="21"/>
  <c r="F56" i="21"/>
  <c r="F20" i="21" s="1"/>
  <c r="F55" i="21"/>
  <c r="F54" i="21"/>
  <c r="D56" i="21"/>
  <c r="D55" i="21"/>
  <c r="D19" i="21" s="1"/>
  <c r="D54" i="21"/>
  <c r="B55" i="21"/>
  <c r="B19" i="21" s="1"/>
  <c r="B56" i="21"/>
  <c r="B20" i="21" s="1"/>
  <c r="B54" i="21"/>
  <c r="B18" i="21" s="1"/>
  <c r="R52" i="21"/>
  <c r="R51" i="21"/>
  <c r="R50" i="21"/>
  <c r="P52" i="21"/>
  <c r="P51" i="21"/>
  <c r="P49" i="21" s="1"/>
  <c r="P50" i="21"/>
  <c r="N52" i="21"/>
  <c r="N51" i="21"/>
  <c r="N50" i="21"/>
  <c r="L52" i="21"/>
  <c r="L51" i="21"/>
  <c r="L50" i="21"/>
  <c r="J52" i="21"/>
  <c r="J16" i="21" s="1"/>
  <c r="J51" i="21"/>
  <c r="J50" i="21"/>
  <c r="H52" i="21"/>
  <c r="H16" i="21" s="1"/>
  <c r="H51" i="21"/>
  <c r="H15" i="21" s="1"/>
  <c r="H50" i="21"/>
  <c r="F52" i="21"/>
  <c r="F51" i="21"/>
  <c r="F50" i="21"/>
  <c r="F14" i="21" s="1"/>
  <c r="D52" i="21"/>
  <c r="D51" i="21"/>
  <c r="D50" i="21"/>
  <c r="B51" i="21"/>
  <c r="B15" i="21" s="1"/>
  <c r="B52" i="21"/>
  <c r="B16" i="21" s="1"/>
  <c r="B50" i="21"/>
  <c r="R48" i="21"/>
  <c r="R47" i="21"/>
  <c r="R45" i="21" s="1"/>
  <c r="R46" i="21"/>
  <c r="P48" i="21"/>
  <c r="P47" i="21"/>
  <c r="P46" i="21"/>
  <c r="N48" i="21"/>
  <c r="N47" i="21"/>
  <c r="N46" i="21"/>
  <c r="N45" i="21" s="1"/>
  <c r="L48" i="21"/>
  <c r="L47" i="21"/>
  <c r="L11" i="21" s="1"/>
  <c r="L46" i="21"/>
  <c r="J48" i="21"/>
  <c r="J12" i="21" s="1"/>
  <c r="J47" i="21"/>
  <c r="J11" i="21" s="1"/>
  <c r="J46" i="21"/>
  <c r="H48" i="21"/>
  <c r="H12" i="21" s="1"/>
  <c r="H47" i="21"/>
  <c r="H11" i="21" s="1"/>
  <c r="H46" i="21"/>
  <c r="H10" i="21" s="1"/>
  <c r="F48" i="21"/>
  <c r="F12" i="21" s="1"/>
  <c r="F47" i="21"/>
  <c r="F11" i="21" s="1"/>
  <c r="F46" i="21"/>
  <c r="D48" i="21"/>
  <c r="D47" i="21"/>
  <c r="D11" i="21" s="1"/>
  <c r="D46" i="21"/>
  <c r="B47" i="21"/>
  <c r="B11" i="21" s="1"/>
  <c r="B48" i="21"/>
  <c r="B12" i="21" s="1"/>
  <c r="B46" i="21"/>
  <c r="B10" i="21" s="1"/>
  <c r="N68" i="21"/>
  <c r="L64" i="21"/>
  <c r="J60" i="21"/>
  <c r="L53" i="21"/>
  <c r="P45" i="21"/>
  <c r="V45" i="21" s="1"/>
  <c r="R356" i="21"/>
  <c r="X356" i="21" s="1"/>
  <c r="P356" i="21"/>
  <c r="N356" i="21"/>
  <c r="L356" i="21"/>
  <c r="J356" i="21"/>
  <c r="H356" i="21"/>
  <c r="F356" i="21"/>
  <c r="D356" i="21"/>
  <c r="B356" i="21"/>
  <c r="R352" i="21"/>
  <c r="P352" i="21"/>
  <c r="N352" i="21"/>
  <c r="L352" i="21"/>
  <c r="J352" i="21"/>
  <c r="H352" i="21"/>
  <c r="F352" i="21"/>
  <c r="D352" i="21"/>
  <c r="B352" i="21"/>
  <c r="R348" i="21"/>
  <c r="P348" i="21"/>
  <c r="N348" i="21"/>
  <c r="L348" i="21"/>
  <c r="J348" i="21"/>
  <c r="H348" i="21"/>
  <c r="F348" i="21"/>
  <c r="F360" i="21" s="1"/>
  <c r="D348" i="21"/>
  <c r="B348" i="21"/>
  <c r="R341" i="21"/>
  <c r="P341" i="21"/>
  <c r="V341" i="21" s="1"/>
  <c r="N341" i="21"/>
  <c r="L341" i="21"/>
  <c r="J341" i="21"/>
  <c r="H341" i="21"/>
  <c r="F341" i="21"/>
  <c r="D341" i="21"/>
  <c r="B341" i="21"/>
  <c r="R337" i="21"/>
  <c r="X337" i="21" s="1"/>
  <c r="P337" i="21"/>
  <c r="N337" i="21"/>
  <c r="L337" i="21"/>
  <c r="J337" i="21"/>
  <c r="H337" i="21"/>
  <c r="F337" i="21"/>
  <c r="D337" i="21"/>
  <c r="B337" i="21"/>
  <c r="R333" i="21"/>
  <c r="P333" i="21"/>
  <c r="N333" i="21"/>
  <c r="L333" i="21"/>
  <c r="J333" i="21"/>
  <c r="H333" i="21"/>
  <c r="F333" i="21"/>
  <c r="D333" i="21"/>
  <c r="B333" i="21"/>
  <c r="R320" i="21"/>
  <c r="P320" i="21"/>
  <c r="N320" i="21"/>
  <c r="L320" i="21"/>
  <c r="J320" i="21"/>
  <c r="H320" i="21"/>
  <c r="F320" i="21"/>
  <c r="D320" i="21"/>
  <c r="B320" i="21"/>
  <c r="R316" i="21"/>
  <c r="P316" i="21"/>
  <c r="V316" i="21" s="1"/>
  <c r="N316" i="21"/>
  <c r="L316" i="21"/>
  <c r="J316" i="21"/>
  <c r="H316" i="21"/>
  <c r="F316" i="21"/>
  <c r="D316" i="21"/>
  <c r="B316" i="21"/>
  <c r="R312" i="21"/>
  <c r="X312" i="21" s="1"/>
  <c r="P312" i="21"/>
  <c r="N312" i="21"/>
  <c r="L312" i="21"/>
  <c r="J312" i="21"/>
  <c r="H312" i="21"/>
  <c r="F312" i="21"/>
  <c r="D312" i="21"/>
  <c r="B312" i="21"/>
  <c r="R305" i="21"/>
  <c r="P305" i="21"/>
  <c r="N305" i="21"/>
  <c r="L305" i="21"/>
  <c r="J305" i="21"/>
  <c r="H305" i="21"/>
  <c r="F305" i="21"/>
  <c r="D305" i="21"/>
  <c r="B305" i="21"/>
  <c r="R301" i="21"/>
  <c r="P301" i="21"/>
  <c r="N301" i="21"/>
  <c r="L301" i="21"/>
  <c r="J301" i="21"/>
  <c r="H301" i="21"/>
  <c r="F301" i="21"/>
  <c r="D301" i="21"/>
  <c r="B301" i="21"/>
  <c r="R297" i="21"/>
  <c r="P297" i="21"/>
  <c r="V297" i="21" s="1"/>
  <c r="N297" i="21"/>
  <c r="L297" i="21"/>
  <c r="J297" i="21"/>
  <c r="H297" i="21"/>
  <c r="F297" i="21"/>
  <c r="D297" i="21"/>
  <c r="B297" i="21"/>
  <c r="R284" i="21"/>
  <c r="P284" i="21"/>
  <c r="N284" i="21"/>
  <c r="L284" i="21"/>
  <c r="J284" i="21"/>
  <c r="H284" i="21"/>
  <c r="F284" i="21"/>
  <c r="D284" i="21"/>
  <c r="B284" i="21"/>
  <c r="R280" i="21"/>
  <c r="P280" i="21"/>
  <c r="N280" i="21"/>
  <c r="L280" i="21"/>
  <c r="J280" i="21"/>
  <c r="H280" i="21"/>
  <c r="F280" i="21"/>
  <c r="D280" i="21"/>
  <c r="B280" i="21"/>
  <c r="R276" i="21"/>
  <c r="P276" i="21"/>
  <c r="N276" i="21"/>
  <c r="L276" i="21"/>
  <c r="J276" i="21"/>
  <c r="H276" i="21"/>
  <c r="F276" i="21"/>
  <c r="D276" i="21"/>
  <c r="B276" i="21"/>
  <c r="R269" i="21"/>
  <c r="P269" i="21"/>
  <c r="N269" i="21"/>
  <c r="L269" i="21"/>
  <c r="J269" i="21"/>
  <c r="H269" i="21"/>
  <c r="F269" i="21"/>
  <c r="D269" i="21"/>
  <c r="B269" i="21"/>
  <c r="R265" i="21"/>
  <c r="X265" i="21" s="1"/>
  <c r="P265" i="21"/>
  <c r="N265" i="21"/>
  <c r="L265" i="21"/>
  <c r="J265" i="21"/>
  <c r="H265" i="21"/>
  <c r="F265" i="21"/>
  <c r="D265" i="21"/>
  <c r="B265" i="21"/>
  <c r="R261" i="21"/>
  <c r="P261" i="21"/>
  <c r="N261" i="21"/>
  <c r="L261" i="21"/>
  <c r="J261" i="21"/>
  <c r="H261" i="21"/>
  <c r="F261" i="21"/>
  <c r="F273" i="21" s="1"/>
  <c r="D261" i="21"/>
  <c r="B261" i="21"/>
  <c r="R248" i="21"/>
  <c r="P248" i="21"/>
  <c r="N248" i="21"/>
  <c r="L248" i="21"/>
  <c r="J248" i="21"/>
  <c r="H248" i="21"/>
  <c r="F248" i="21"/>
  <c r="D248" i="21"/>
  <c r="B248" i="21"/>
  <c r="R244" i="21"/>
  <c r="P244" i="21"/>
  <c r="V244" i="21" s="1"/>
  <c r="N244" i="21"/>
  <c r="L244" i="21"/>
  <c r="J244" i="21"/>
  <c r="H244" i="21"/>
  <c r="F244" i="21"/>
  <c r="D244" i="21"/>
  <c r="B244" i="21"/>
  <c r="R240" i="21"/>
  <c r="X240" i="21" s="1"/>
  <c r="P240" i="21"/>
  <c r="N240" i="21"/>
  <c r="L240" i="21"/>
  <c r="L252" i="21" s="1"/>
  <c r="J240" i="21"/>
  <c r="H240" i="21"/>
  <c r="F240" i="21"/>
  <c r="D240" i="21"/>
  <c r="D252" i="21" s="1"/>
  <c r="B240" i="21"/>
  <c r="R233" i="21"/>
  <c r="P233" i="21"/>
  <c r="N233" i="21"/>
  <c r="L233" i="21"/>
  <c r="J233" i="21"/>
  <c r="H233" i="21"/>
  <c r="F233" i="21"/>
  <c r="D233" i="21"/>
  <c r="B233" i="21"/>
  <c r="R229" i="21"/>
  <c r="P229" i="21"/>
  <c r="N229" i="21"/>
  <c r="L229" i="21"/>
  <c r="J229" i="21"/>
  <c r="H229" i="21"/>
  <c r="F229" i="21"/>
  <c r="D229" i="21"/>
  <c r="B229" i="21"/>
  <c r="R225" i="21"/>
  <c r="P225" i="21"/>
  <c r="N225" i="21"/>
  <c r="L225" i="21"/>
  <c r="J225" i="21"/>
  <c r="H225" i="21"/>
  <c r="H237" i="21" s="1"/>
  <c r="F225" i="21"/>
  <c r="D225" i="21"/>
  <c r="B225" i="21"/>
  <c r="R212" i="21"/>
  <c r="P212" i="21"/>
  <c r="N212" i="21"/>
  <c r="L212" i="21"/>
  <c r="J212" i="21"/>
  <c r="H212" i="21"/>
  <c r="F212" i="21"/>
  <c r="D212" i="21"/>
  <c r="B212" i="21"/>
  <c r="R208" i="21"/>
  <c r="P208" i="21"/>
  <c r="N208" i="21"/>
  <c r="L208" i="21"/>
  <c r="J208" i="21"/>
  <c r="H208" i="21"/>
  <c r="F208" i="21"/>
  <c r="D208" i="21"/>
  <c r="B208" i="21"/>
  <c r="R204" i="21"/>
  <c r="P204" i="21"/>
  <c r="N204" i="21"/>
  <c r="L204" i="21"/>
  <c r="J204" i="21"/>
  <c r="H204" i="21"/>
  <c r="F204" i="21"/>
  <c r="D204" i="21"/>
  <c r="B204" i="21"/>
  <c r="R197" i="21"/>
  <c r="P197" i="21"/>
  <c r="N197" i="21"/>
  <c r="L197" i="21"/>
  <c r="J197" i="21"/>
  <c r="H197" i="21"/>
  <c r="F197" i="21"/>
  <c r="D197" i="21"/>
  <c r="B197" i="21"/>
  <c r="R193" i="21"/>
  <c r="X193" i="21" s="1"/>
  <c r="P193" i="21"/>
  <c r="N193" i="21"/>
  <c r="L193" i="21"/>
  <c r="J193" i="21"/>
  <c r="H193" i="21"/>
  <c r="F193" i="21"/>
  <c r="D193" i="21"/>
  <c r="B193" i="21"/>
  <c r="R189" i="21"/>
  <c r="P189" i="21"/>
  <c r="N189" i="21"/>
  <c r="L189" i="21"/>
  <c r="J189" i="21"/>
  <c r="H189" i="21"/>
  <c r="F189" i="21"/>
  <c r="D189" i="21"/>
  <c r="B189" i="21"/>
  <c r="R176" i="21"/>
  <c r="P176" i="21"/>
  <c r="N176" i="21"/>
  <c r="L176" i="21"/>
  <c r="J176" i="21"/>
  <c r="H176" i="21"/>
  <c r="F176" i="21"/>
  <c r="D176" i="21"/>
  <c r="B176" i="21"/>
  <c r="R172" i="21"/>
  <c r="P172" i="21"/>
  <c r="V172" i="21" s="1"/>
  <c r="N172" i="21"/>
  <c r="L172" i="21"/>
  <c r="J172" i="21"/>
  <c r="H172" i="21"/>
  <c r="F172" i="21"/>
  <c r="D172" i="21"/>
  <c r="B172" i="21"/>
  <c r="R168" i="21"/>
  <c r="X168" i="21" s="1"/>
  <c r="P168" i="21"/>
  <c r="N168" i="21"/>
  <c r="L168" i="21"/>
  <c r="L180" i="21" s="1"/>
  <c r="J168" i="21"/>
  <c r="H168" i="21"/>
  <c r="F168" i="21"/>
  <c r="D168" i="21"/>
  <c r="D180" i="21" s="1"/>
  <c r="B168" i="21"/>
  <c r="R161" i="21"/>
  <c r="P161" i="21"/>
  <c r="N161" i="21"/>
  <c r="L161" i="21"/>
  <c r="J161" i="21"/>
  <c r="H161" i="21"/>
  <c r="F161" i="21"/>
  <c r="D161" i="21"/>
  <c r="B161" i="21"/>
  <c r="R157" i="21"/>
  <c r="P157" i="21"/>
  <c r="N157" i="21"/>
  <c r="L157" i="21"/>
  <c r="J157" i="21"/>
  <c r="H157" i="21"/>
  <c r="F157" i="21"/>
  <c r="D157" i="21"/>
  <c r="B157" i="21"/>
  <c r="R153" i="21"/>
  <c r="P153" i="21"/>
  <c r="N153" i="21"/>
  <c r="L153" i="21"/>
  <c r="J153" i="21"/>
  <c r="J165" i="21" s="1"/>
  <c r="H153" i="21"/>
  <c r="F153" i="21"/>
  <c r="D153" i="21"/>
  <c r="B153" i="21"/>
  <c r="B165" i="21" s="1"/>
  <c r="R140" i="21"/>
  <c r="P140" i="21"/>
  <c r="N140" i="21"/>
  <c r="L140" i="21"/>
  <c r="J140" i="21"/>
  <c r="H140" i="21"/>
  <c r="F140" i="21"/>
  <c r="D140" i="21"/>
  <c r="B140" i="21"/>
  <c r="R136" i="21"/>
  <c r="P136" i="21"/>
  <c r="N136" i="21"/>
  <c r="L136" i="21"/>
  <c r="J136" i="21"/>
  <c r="H136" i="21"/>
  <c r="F136" i="21"/>
  <c r="D136" i="21"/>
  <c r="B136" i="21"/>
  <c r="R132" i="21"/>
  <c r="P132" i="21"/>
  <c r="N132" i="21"/>
  <c r="L132" i="21"/>
  <c r="J132" i="21"/>
  <c r="H132" i="21"/>
  <c r="F132" i="21"/>
  <c r="D132" i="21"/>
  <c r="B132" i="21"/>
  <c r="R125" i="21"/>
  <c r="P125" i="21"/>
  <c r="N125" i="21"/>
  <c r="L125" i="21"/>
  <c r="J125" i="21"/>
  <c r="H125" i="21"/>
  <c r="F125" i="21"/>
  <c r="D125" i="21"/>
  <c r="B125" i="21"/>
  <c r="R121" i="21"/>
  <c r="P121" i="21"/>
  <c r="N121" i="21"/>
  <c r="L121" i="21"/>
  <c r="J121" i="21"/>
  <c r="H121" i="21"/>
  <c r="F121" i="21"/>
  <c r="D121" i="21"/>
  <c r="B121" i="21"/>
  <c r="R117" i="21"/>
  <c r="P117" i="21"/>
  <c r="N117" i="21"/>
  <c r="L117" i="21"/>
  <c r="J117" i="21"/>
  <c r="H117" i="21"/>
  <c r="F117" i="21"/>
  <c r="F129" i="21" s="1"/>
  <c r="D117" i="21"/>
  <c r="B117" i="21"/>
  <c r="R104" i="21"/>
  <c r="P104" i="21"/>
  <c r="N104" i="21"/>
  <c r="L104" i="21"/>
  <c r="J104" i="21"/>
  <c r="H104" i="21"/>
  <c r="F104" i="21"/>
  <c r="D104" i="21"/>
  <c r="B104" i="21"/>
  <c r="R100" i="21"/>
  <c r="P100" i="21"/>
  <c r="N100" i="21"/>
  <c r="L100" i="21"/>
  <c r="J100" i="21"/>
  <c r="H100" i="21"/>
  <c r="F100" i="21"/>
  <c r="D100" i="21"/>
  <c r="B100" i="21"/>
  <c r="R96" i="21"/>
  <c r="P96" i="21"/>
  <c r="N96" i="21"/>
  <c r="L96" i="21"/>
  <c r="J96" i="21"/>
  <c r="H96" i="21"/>
  <c r="F96" i="21"/>
  <c r="D96" i="21"/>
  <c r="B96" i="21"/>
  <c r="R89" i="21"/>
  <c r="P89" i="21"/>
  <c r="N89" i="21"/>
  <c r="L89" i="21"/>
  <c r="J89" i="21"/>
  <c r="H89" i="21"/>
  <c r="F89" i="21"/>
  <c r="D89" i="21"/>
  <c r="B89" i="21"/>
  <c r="R85" i="21"/>
  <c r="P85" i="21"/>
  <c r="N85" i="21"/>
  <c r="L85" i="21"/>
  <c r="J85" i="21"/>
  <c r="H85" i="21"/>
  <c r="F85" i="21"/>
  <c r="D85" i="21"/>
  <c r="B85" i="21"/>
  <c r="R81" i="21"/>
  <c r="P81" i="21"/>
  <c r="N81" i="21"/>
  <c r="L81" i="21"/>
  <c r="J81" i="21"/>
  <c r="J93" i="21" s="1"/>
  <c r="H81" i="21"/>
  <c r="F81" i="21"/>
  <c r="D81" i="21"/>
  <c r="B81" i="21"/>
  <c r="B93" i="21" s="1"/>
  <c r="H25" i="21" l="1"/>
  <c r="H60" i="21"/>
  <c r="D33" i="21"/>
  <c r="D68" i="21"/>
  <c r="L33" i="21"/>
  <c r="L68" i="21"/>
  <c r="AB16" i="28"/>
  <c r="AB20" i="28" s="1"/>
  <c r="Z28" i="26"/>
  <c r="X24" i="28"/>
  <c r="V100" i="26"/>
  <c r="J11" i="73"/>
  <c r="J11" i="70"/>
  <c r="P28" i="27"/>
  <c r="Z28" i="27"/>
  <c r="P20" i="28"/>
  <c r="R20" i="28" s="1"/>
  <c r="Z18" i="28"/>
  <c r="R11" i="73"/>
  <c r="R11" i="70"/>
  <c r="P26" i="29"/>
  <c r="P23" i="70"/>
  <c r="P24" i="70" s="1"/>
  <c r="P23" i="73"/>
  <c r="P24" i="73" s="1"/>
  <c r="J45" i="21"/>
  <c r="B53" i="21"/>
  <c r="T53" i="21" s="1"/>
  <c r="D60" i="21"/>
  <c r="B64" i="21"/>
  <c r="H68" i="21"/>
  <c r="D12" i="21"/>
  <c r="D45" i="21"/>
  <c r="H9" i="21"/>
  <c r="L12" i="21"/>
  <c r="L45" i="21"/>
  <c r="L57" i="21" s="1"/>
  <c r="D18" i="21"/>
  <c r="D53" i="21"/>
  <c r="H20" i="21"/>
  <c r="H53" i="21"/>
  <c r="L17" i="21"/>
  <c r="P20" i="21"/>
  <c r="P53" i="21"/>
  <c r="V53" i="21" s="1"/>
  <c r="B24" i="21"/>
  <c r="F27" i="21"/>
  <c r="F60" i="21"/>
  <c r="J24" i="21"/>
  <c r="D31" i="21"/>
  <c r="D64" i="21"/>
  <c r="D72" i="21" s="1"/>
  <c r="H29" i="21"/>
  <c r="H28" i="21" s="1"/>
  <c r="H64" i="21"/>
  <c r="B34" i="21"/>
  <c r="B32" i="21" s="1"/>
  <c r="B68" i="21"/>
  <c r="T68" i="21" s="1"/>
  <c r="J35" i="21"/>
  <c r="J68" i="21"/>
  <c r="R35" i="21"/>
  <c r="R68" i="21"/>
  <c r="X68" i="21" s="1"/>
  <c r="G8" i="73"/>
  <c r="G8" i="70"/>
  <c r="P28" i="26"/>
  <c r="R28" i="26" s="1"/>
  <c r="Z16" i="28"/>
  <c r="X28" i="26"/>
  <c r="E8" i="73"/>
  <c r="E8" i="70"/>
  <c r="F11" i="73"/>
  <c r="F12" i="73" s="1"/>
  <c r="F11" i="70"/>
  <c r="F12" i="70" s="1"/>
  <c r="F17" i="73"/>
  <c r="F18" i="73" s="1"/>
  <c r="F17" i="70"/>
  <c r="F18" i="70" s="1"/>
  <c r="G20" i="73"/>
  <c r="G21" i="73" s="1"/>
  <c r="F20" i="73"/>
  <c r="F21" i="73" s="1"/>
  <c r="G20" i="70"/>
  <c r="G21" i="70" s="1"/>
  <c r="F20" i="70"/>
  <c r="F21" i="70" s="1"/>
  <c r="F23" i="73"/>
  <c r="F24" i="73" s="1"/>
  <c r="F23" i="70"/>
  <c r="F24" i="70" s="1"/>
  <c r="F26" i="73"/>
  <c r="F27" i="73" s="1"/>
  <c r="F26" i="70"/>
  <c r="F27" i="70" s="1"/>
  <c r="V24" i="28"/>
  <c r="T100" i="26"/>
  <c r="AD24" i="28"/>
  <c r="AD28" i="28" s="1"/>
  <c r="AB100" i="26"/>
  <c r="N36" i="27"/>
  <c r="T36" i="27"/>
  <c r="N44" i="27"/>
  <c r="T44" i="27"/>
  <c r="N52" i="27"/>
  <c r="T52" i="27"/>
  <c r="N60" i="27"/>
  <c r="R60" i="27" s="1"/>
  <c r="T60" i="27"/>
  <c r="N28" i="28"/>
  <c r="T26" i="28"/>
  <c r="T28" i="28" s="1"/>
  <c r="AB28" i="28"/>
  <c r="N26" i="29"/>
  <c r="R36" i="29"/>
  <c r="N48" i="29"/>
  <c r="R58" i="29"/>
  <c r="B417" i="21"/>
  <c r="J417" i="21"/>
  <c r="B504" i="21"/>
  <c r="J504" i="21"/>
  <c r="J396" i="21"/>
  <c r="X385" i="21"/>
  <c r="R384" i="21"/>
  <c r="X393" i="21"/>
  <c r="R392" i="21"/>
  <c r="X392" i="21" s="1"/>
  <c r="F33" i="73"/>
  <c r="F33" i="70"/>
  <c r="V32" i="28"/>
  <c r="T112" i="26"/>
  <c r="AD32" i="28"/>
  <c r="AB112" i="26"/>
  <c r="F39" i="73"/>
  <c r="F40" i="73" s="1"/>
  <c r="F39" i="70"/>
  <c r="F40" i="70" s="1"/>
  <c r="F42" i="73"/>
  <c r="F43" i="73" s="1"/>
  <c r="F42" i="70"/>
  <c r="F43" i="70" s="1"/>
  <c r="V36" i="28"/>
  <c r="AD36" i="28"/>
  <c r="P81" i="29"/>
  <c r="X81" i="29"/>
  <c r="P39" i="73"/>
  <c r="P40" i="73" s="1"/>
  <c r="G61" i="76" s="1"/>
  <c r="P39" i="70"/>
  <c r="P40" i="70" s="1"/>
  <c r="G22" i="76" s="1"/>
  <c r="P49" i="73"/>
  <c r="P50" i="73" s="1"/>
  <c r="P49" i="70"/>
  <c r="P50" i="70" s="1"/>
  <c r="V720" i="21"/>
  <c r="N62" i="70"/>
  <c r="N68" i="70"/>
  <c r="N75" i="70" s="1"/>
  <c r="L72" i="21"/>
  <c r="F10" i="21"/>
  <c r="F45" i="21"/>
  <c r="D14" i="21"/>
  <c r="D13" i="21" s="1"/>
  <c r="D49" i="21"/>
  <c r="L14" i="21"/>
  <c r="L49" i="21"/>
  <c r="J8" i="73"/>
  <c r="J8" i="70"/>
  <c r="P20" i="27"/>
  <c r="Z20" i="27"/>
  <c r="V28" i="28"/>
  <c r="P59" i="29"/>
  <c r="X59" i="29"/>
  <c r="V85" i="21"/>
  <c r="X100" i="21"/>
  <c r="V104" i="21"/>
  <c r="D129" i="21"/>
  <c r="L129" i="21"/>
  <c r="V132" i="21"/>
  <c r="V157" i="21"/>
  <c r="X225" i="21"/>
  <c r="V229" i="21"/>
  <c r="B45" i="21"/>
  <c r="L60" i="21"/>
  <c r="H61" i="73"/>
  <c r="H61" i="70"/>
  <c r="I65" i="73"/>
  <c r="I65" i="70"/>
  <c r="Q65" i="73"/>
  <c r="Q66" i="73" s="1"/>
  <c r="Q65" i="70"/>
  <c r="Q66" i="70" s="1"/>
  <c r="H45" i="21"/>
  <c r="B60" i="21"/>
  <c r="F68" i="21"/>
  <c r="L373" i="21"/>
  <c r="L381" i="21" s="1"/>
  <c r="H377" i="21"/>
  <c r="R377" i="21"/>
  <c r="X377" i="21" s="1"/>
  <c r="D384" i="21"/>
  <c r="L384" i="21"/>
  <c r="L396" i="21" s="1"/>
  <c r="J388" i="21"/>
  <c r="R388" i="21"/>
  <c r="X388" i="21" s="1"/>
  <c r="D392" i="21"/>
  <c r="L392" i="21"/>
  <c r="AB32" i="28"/>
  <c r="Z112" i="26"/>
  <c r="N76" i="27"/>
  <c r="T76" i="27"/>
  <c r="N84" i="27"/>
  <c r="T84" i="27"/>
  <c r="N100" i="27"/>
  <c r="T100" i="27"/>
  <c r="N36" i="28"/>
  <c r="T34" i="28"/>
  <c r="T36" i="28" s="1"/>
  <c r="AB36" i="28"/>
  <c r="F49" i="73"/>
  <c r="F50" i="73" s="1"/>
  <c r="F49" i="70"/>
  <c r="F50" i="70" s="1"/>
  <c r="R49" i="73"/>
  <c r="R50" i="73" s="1"/>
  <c r="R49" i="70"/>
  <c r="R50" i="70" s="1"/>
  <c r="G57" i="73"/>
  <c r="G58" i="73" s="1"/>
  <c r="G57" i="70"/>
  <c r="G58" i="70" s="1"/>
  <c r="D65" i="73"/>
  <c r="D66" i="73" s="1"/>
  <c r="D65" i="70"/>
  <c r="D66" i="70" s="1"/>
  <c r="N65" i="73"/>
  <c r="N66" i="73" s="1"/>
  <c r="N65" i="70"/>
  <c r="N66" i="70" s="1"/>
  <c r="J65" i="73"/>
  <c r="J65" i="70"/>
  <c r="E65" i="73"/>
  <c r="E66" i="73" s="1"/>
  <c r="E65" i="70"/>
  <c r="E66" i="70" s="1"/>
  <c r="R21" i="66"/>
  <c r="G53" i="73"/>
  <c r="G54" i="73" s="1"/>
  <c r="G53" i="70"/>
  <c r="G54" i="70" s="1"/>
  <c r="V189" i="21"/>
  <c r="X204" i="21"/>
  <c r="V208" i="21"/>
  <c r="D237" i="21"/>
  <c r="L237" i="21"/>
  <c r="V261" i="21"/>
  <c r="X276" i="21"/>
  <c r="V280" i="21"/>
  <c r="X301" i="21"/>
  <c r="V305" i="21"/>
  <c r="X320" i="21"/>
  <c r="V333" i="21"/>
  <c r="B360" i="21"/>
  <c r="J360" i="21"/>
  <c r="V352" i="21"/>
  <c r="D10" i="21"/>
  <c r="L10" i="21"/>
  <c r="L9" i="21" s="1"/>
  <c r="B14" i="21"/>
  <c r="D15" i="21"/>
  <c r="F16" i="21"/>
  <c r="J14" i="21"/>
  <c r="L15" i="21"/>
  <c r="D20" i="21"/>
  <c r="H18" i="21"/>
  <c r="L20" i="21"/>
  <c r="D28" i="21"/>
  <c r="L28" i="21"/>
  <c r="D34" i="21"/>
  <c r="F35" i="21"/>
  <c r="F32" i="21" s="1"/>
  <c r="J33" i="21"/>
  <c r="J32" i="21" s="1"/>
  <c r="L34" i="21"/>
  <c r="N35" i="21"/>
  <c r="F40" i="21"/>
  <c r="J40" i="21"/>
  <c r="R25" i="26"/>
  <c r="N28" i="26"/>
  <c r="V16" i="28"/>
  <c r="V20" i="28" s="1"/>
  <c r="T28" i="26"/>
  <c r="AD16" i="28"/>
  <c r="AD20" i="28" s="1"/>
  <c r="AB28" i="26"/>
  <c r="R39" i="26"/>
  <c r="P40" i="26"/>
  <c r="X40" i="26"/>
  <c r="R51" i="26"/>
  <c r="P52" i="26"/>
  <c r="X52" i="26"/>
  <c r="R59" i="26"/>
  <c r="R63" i="26"/>
  <c r="P64" i="26"/>
  <c r="X64" i="26"/>
  <c r="P76" i="26"/>
  <c r="X76" i="26"/>
  <c r="R83" i="26"/>
  <c r="R87" i="26"/>
  <c r="P88" i="26"/>
  <c r="X88" i="26"/>
  <c r="R95" i="26"/>
  <c r="P100" i="26"/>
  <c r="Z24" i="28"/>
  <c r="Z28" i="28" s="1"/>
  <c r="X100" i="26"/>
  <c r="N20" i="27"/>
  <c r="R20" i="27" s="1"/>
  <c r="T20" i="27"/>
  <c r="J14" i="73"/>
  <c r="J14" i="70"/>
  <c r="J23" i="73"/>
  <c r="J23" i="70"/>
  <c r="N20" i="28"/>
  <c r="T18" i="28"/>
  <c r="T20" i="28" s="1"/>
  <c r="X28" i="28"/>
  <c r="N37" i="29"/>
  <c r="R17" i="73"/>
  <c r="R18" i="73" s="1"/>
  <c r="R17" i="70"/>
  <c r="R18" i="70" s="1"/>
  <c r="F417" i="21"/>
  <c r="X413" i="21"/>
  <c r="X420" i="21"/>
  <c r="X424" i="21"/>
  <c r="X428" i="21"/>
  <c r="V441" i="21"/>
  <c r="X456" i="21"/>
  <c r="V460" i="21"/>
  <c r="X481" i="21"/>
  <c r="F504" i="21"/>
  <c r="V513" i="21"/>
  <c r="X528" i="21"/>
  <c r="V532" i="21"/>
  <c r="X32" i="28"/>
  <c r="V112" i="26"/>
  <c r="R83" i="27"/>
  <c r="R31" i="28"/>
  <c r="R35" i="28"/>
  <c r="X36" i="28"/>
  <c r="J49" i="73"/>
  <c r="J49" i="70"/>
  <c r="J53" i="73"/>
  <c r="J53" i="70"/>
  <c r="X633" i="21"/>
  <c r="E57" i="73"/>
  <c r="E58" i="73" s="1"/>
  <c r="E57" i="70"/>
  <c r="E58" i="70" s="1"/>
  <c r="P57" i="70"/>
  <c r="P58" i="70" s="1"/>
  <c r="G27" i="76" s="1"/>
  <c r="P57" i="73"/>
  <c r="P58" i="73" s="1"/>
  <c r="G66" i="76" s="1"/>
  <c r="R25" i="58"/>
  <c r="Z25" i="58" s="1"/>
  <c r="O61" i="73"/>
  <c r="O61" i="70"/>
  <c r="R9" i="31"/>
  <c r="R22" i="66"/>
  <c r="G49" i="73"/>
  <c r="G50" i="73" s="1"/>
  <c r="G49" i="70"/>
  <c r="G50" i="70" s="1"/>
  <c r="R13" i="66"/>
  <c r="E53" i="73"/>
  <c r="E54" i="73" s="1"/>
  <c r="E53" i="70"/>
  <c r="E54" i="70" s="1"/>
  <c r="R30" i="66"/>
  <c r="N62" i="73"/>
  <c r="F93" i="21"/>
  <c r="X89" i="21"/>
  <c r="V96" i="21"/>
  <c r="B129" i="21"/>
  <c r="J129" i="21"/>
  <c r="H129" i="21"/>
  <c r="X136" i="21"/>
  <c r="F165" i="21"/>
  <c r="H180" i="21"/>
  <c r="H252" i="21"/>
  <c r="B273" i="21"/>
  <c r="D288" i="21"/>
  <c r="J10" i="21"/>
  <c r="J9" i="21" s="1"/>
  <c r="D16" i="21"/>
  <c r="H14" i="21"/>
  <c r="L16" i="21"/>
  <c r="F18" i="21"/>
  <c r="F17" i="21" s="1"/>
  <c r="H19" i="21"/>
  <c r="J20" i="21"/>
  <c r="R20" i="21"/>
  <c r="D25" i="21"/>
  <c r="D24" i="21" s="1"/>
  <c r="F26" i="21"/>
  <c r="F24" i="21" s="1"/>
  <c r="H27" i="21"/>
  <c r="L25" i="21"/>
  <c r="B29" i="21"/>
  <c r="B28" i="21" s="1"/>
  <c r="X16" i="28"/>
  <c r="X20" i="28" s="1"/>
  <c r="V28" i="26"/>
  <c r="AB24" i="28"/>
  <c r="Z100" i="26"/>
  <c r="N28" i="27"/>
  <c r="V28" i="27"/>
  <c r="R67" i="27"/>
  <c r="P68" i="27"/>
  <c r="Z68" i="27"/>
  <c r="P70" i="29"/>
  <c r="X70" i="29"/>
  <c r="B369" i="21"/>
  <c r="B381" i="21" s="1"/>
  <c r="F373" i="21"/>
  <c r="X378" i="21"/>
  <c r="V386" i="21"/>
  <c r="X389" i="21"/>
  <c r="V394" i="21"/>
  <c r="G33" i="73"/>
  <c r="G33" i="70"/>
  <c r="P112" i="26"/>
  <c r="Z32" i="28"/>
  <c r="X112" i="26"/>
  <c r="E36" i="73"/>
  <c r="E37" i="73" s="1"/>
  <c r="E36" i="70"/>
  <c r="E37" i="70" s="1"/>
  <c r="P124" i="26"/>
  <c r="X124" i="26"/>
  <c r="E39" i="73"/>
  <c r="E40" i="73" s="1"/>
  <c r="E39" i="70"/>
  <c r="E40" i="70" s="1"/>
  <c r="G39" i="73"/>
  <c r="G40" i="73" s="1"/>
  <c r="G39" i="70"/>
  <c r="G40" i="70" s="1"/>
  <c r="P136" i="26"/>
  <c r="X136" i="26"/>
  <c r="E42" i="73"/>
  <c r="E43" i="73" s="1"/>
  <c r="E42" i="70"/>
  <c r="E43" i="70" s="1"/>
  <c r="G42" i="73"/>
  <c r="G43" i="73" s="1"/>
  <c r="G42" i="70"/>
  <c r="G43" i="70" s="1"/>
  <c r="J39" i="73"/>
  <c r="J39" i="70"/>
  <c r="P92" i="27"/>
  <c r="Z92" i="27"/>
  <c r="Z36" i="28"/>
  <c r="P36" i="73"/>
  <c r="P36" i="70"/>
  <c r="R42" i="73"/>
  <c r="R43" i="73" s="1"/>
  <c r="R42" i="70"/>
  <c r="R43" i="70" s="1"/>
  <c r="R160" i="26"/>
  <c r="R114" i="29"/>
  <c r="R44" i="28"/>
  <c r="T633" i="21"/>
  <c r="X648" i="21"/>
  <c r="J57" i="73"/>
  <c r="J57" i="70"/>
  <c r="I61" i="73"/>
  <c r="I68" i="73" s="1"/>
  <c r="I61" i="70"/>
  <c r="I68" i="70" s="1"/>
  <c r="R140" i="27"/>
  <c r="O65" i="73"/>
  <c r="O66" i="73" s="1"/>
  <c r="O65" i="70"/>
  <c r="O66" i="70" s="1"/>
  <c r="R13" i="31"/>
  <c r="F53" i="73"/>
  <c r="F54" i="73" s="1"/>
  <c r="F53" i="70"/>
  <c r="F54" i="70" s="1"/>
  <c r="E49" i="73"/>
  <c r="E50" i="73" s="1"/>
  <c r="E49" i="70"/>
  <c r="E50" i="70" s="1"/>
  <c r="Q61" i="73"/>
  <c r="Q61" i="70"/>
  <c r="P42" i="73"/>
  <c r="P43" i="73" s="1"/>
  <c r="P42" i="70"/>
  <c r="P43" i="70" s="1"/>
  <c r="R28" i="66"/>
  <c r="R12" i="66"/>
  <c r="R14" i="66"/>
  <c r="D61" i="73"/>
  <c r="D61" i="70"/>
  <c r="R93" i="21"/>
  <c r="X81" i="21"/>
  <c r="P93" i="21"/>
  <c r="V81" i="21"/>
  <c r="N108" i="21"/>
  <c r="T96" i="21"/>
  <c r="R108" i="21"/>
  <c r="X96" i="21"/>
  <c r="P237" i="21"/>
  <c r="V225" i="21"/>
  <c r="N360" i="21"/>
  <c r="T360" i="21" s="1"/>
  <c r="T348" i="21"/>
  <c r="R360" i="21"/>
  <c r="X348" i="21"/>
  <c r="T47" i="21"/>
  <c r="N11" i="21"/>
  <c r="T11" i="21" s="1"/>
  <c r="V46" i="21"/>
  <c r="P10" i="21"/>
  <c r="V48" i="21"/>
  <c r="P12" i="21"/>
  <c r="X47" i="21"/>
  <c r="R11" i="21"/>
  <c r="F53" i="21"/>
  <c r="F19" i="21"/>
  <c r="J53" i="21"/>
  <c r="J19" i="21"/>
  <c r="T55" i="21"/>
  <c r="N19" i="21"/>
  <c r="V54" i="21"/>
  <c r="P18" i="21"/>
  <c r="X55" i="21"/>
  <c r="R19" i="21"/>
  <c r="N25" i="21"/>
  <c r="T61" i="21"/>
  <c r="N27" i="21"/>
  <c r="T27" i="21" s="1"/>
  <c r="T63" i="21"/>
  <c r="P26" i="21"/>
  <c r="V62" i="21"/>
  <c r="R25" i="21"/>
  <c r="X61" i="21"/>
  <c r="R27" i="21"/>
  <c r="X63" i="21"/>
  <c r="F64" i="21"/>
  <c r="F30" i="21"/>
  <c r="F28" i="21" s="1"/>
  <c r="J64" i="21"/>
  <c r="J30" i="21"/>
  <c r="N64" i="21"/>
  <c r="T64" i="21" s="1"/>
  <c r="T66" i="21"/>
  <c r="N30" i="21"/>
  <c r="T30" i="21" s="1"/>
  <c r="V65" i="21"/>
  <c r="P29" i="21"/>
  <c r="V67" i="21"/>
  <c r="P31" i="21"/>
  <c r="R64" i="21"/>
  <c r="X64" i="21" s="1"/>
  <c r="X66" i="21"/>
  <c r="R30" i="21"/>
  <c r="N33" i="21"/>
  <c r="T69" i="21"/>
  <c r="P34" i="21"/>
  <c r="V70" i="21"/>
  <c r="R33" i="21"/>
  <c r="X69" i="21"/>
  <c r="B40" i="21"/>
  <c r="T76" i="21"/>
  <c r="N417" i="21"/>
  <c r="T405" i="21"/>
  <c r="R417" i="21"/>
  <c r="X405" i="21"/>
  <c r="N504" i="21"/>
  <c r="T504" i="21" s="1"/>
  <c r="T492" i="21"/>
  <c r="R504" i="21"/>
  <c r="X492" i="21"/>
  <c r="N396" i="21"/>
  <c r="X384" i="21"/>
  <c r="T399" i="21"/>
  <c r="N39" i="21"/>
  <c r="V399" i="21"/>
  <c r="P39" i="21"/>
  <c r="V39" i="21" s="1"/>
  <c r="X399" i="21"/>
  <c r="R39" i="21"/>
  <c r="D93" i="21"/>
  <c r="H93" i="21"/>
  <c r="L93" i="21"/>
  <c r="T85" i="21"/>
  <c r="X85" i="21"/>
  <c r="V89" i="21"/>
  <c r="B108" i="21"/>
  <c r="F108" i="21"/>
  <c r="J108" i="21"/>
  <c r="V100" i="21"/>
  <c r="T104" i="21"/>
  <c r="X104" i="21"/>
  <c r="V117" i="21"/>
  <c r="T132" i="21"/>
  <c r="X132" i="21"/>
  <c r="V136" i="21"/>
  <c r="V153" i="21"/>
  <c r="T157" i="21"/>
  <c r="X157" i="21"/>
  <c r="T168" i="21"/>
  <c r="T193" i="21"/>
  <c r="T204" i="21"/>
  <c r="T229" i="21"/>
  <c r="X229" i="21"/>
  <c r="T240" i="21"/>
  <c r="T265" i="21"/>
  <c r="T276" i="21"/>
  <c r="T301" i="21"/>
  <c r="T312" i="21"/>
  <c r="T320" i="21"/>
  <c r="T337" i="21"/>
  <c r="T356" i="21"/>
  <c r="T60" i="21"/>
  <c r="T413" i="21"/>
  <c r="T445" i="21"/>
  <c r="T456" i="21"/>
  <c r="T481" i="21"/>
  <c r="T517" i="21"/>
  <c r="T528" i="21"/>
  <c r="V388" i="21"/>
  <c r="T370" i="21"/>
  <c r="X370" i="21"/>
  <c r="T374" i="21"/>
  <c r="V375" i="21"/>
  <c r="X374" i="21"/>
  <c r="V378" i="21"/>
  <c r="X379" i="21"/>
  <c r="B384" i="21"/>
  <c r="T384" i="21" s="1"/>
  <c r="V385" i="21"/>
  <c r="X386" i="21"/>
  <c r="B388" i="21"/>
  <c r="T388" i="21" s="1"/>
  <c r="V389" i="21"/>
  <c r="X390" i="21"/>
  <c r="B392" i="21"/>
  <c r="T392" i="21" s="1"/>
  <c r="V393" i="21"/>
  <c r="X394" i="21"/>
  <c r="T612" i="21"/>
  <c r="T648" i="21"/>
  <c r="T684" i="21"/>
  <c r="X720" i="21"/>
  <c r="V705" i="21"/>
  <c r="V633" i="21"/>
  <c r="N93" i="21"/>
  <c r="T93" i="21" s="1"/>
  <c r="T81" i="21"/>
  <c r="N129" i="21"/>
  <c r="T129" i="21" s="1"/>
  <c r="T117" i="21"/>
  <c r="R129" i="21"/>
  <c r="X117" i="21"/>
  <c r="N165" i="21"/>
  <c r="T165" i="21" s="1"/>
  <c r="T153" i="21"/>
  <c r="R165" i="21"/>
  <c r="X153" i="21"/>
  <c r="P180" i="21"/>
  <c r="V168" i="21"/>
  <c r="P201" i="21"/>
  <c r="V193" i="21"/>
  <c r="P252" i="21"/>
  <c r="V240" i="21"/>
  <c r="N252" i="21"/>
  <c r="T244" i="21"/>
  <c r="R252" i="21"/>
  <c r="X252" i="21" s="1"/>
  <c r="X244" i="21"/>
  <c r="N273" i="21"/>
  <c r="T273" i="21" s="1"/>
  <c r="T261" i="21"/>
  <c r="R273" i="21"/>
  <c r="X261" i="21"/>
  <c r="P288" i="21"/>
  <c r="V276" i="21"/>
  <c r="N309" i="21"/>
  <c r="T297" i="21"/>
  <c r="R309" i="21"/>
  <c r="X297" i="21"/>
  <c r="P309" i="21"/>
  <c r="V309" i="21" s="1"/>
  <c r="V301" i="21"/>
  <c r="N345" i="21"/>
  <c r="T333" i="21"/>
  <c r="R345" i="21"/>
  <c r="X333" i="21"/>
  <c r="T46" i="21"/>
  <c r="N10" i="21"/>
  <c r="T48" i="21"/>
  <c r="N12" i="21"/>
  <c r="V47" i="21"/>
  <c r="P11" i="21"/>
  <c r="X46" i="21"/>
  <c r="R10" i="21"/>
  <c r="X48" i="21"/>
  <c r="R12" i="21"/>
  <c r="T54" i="21"/>
  <c r="N18" i="21"/>
  <c r="V55" i="21"/>
  <c r="P19" i="21"/>
  <c r="X54" i="21"/>
  <c r="R18" i="21"/>
  <c r="T62" i="21"/>
  <c r="N26" i="21"/>
  <c r="T26" i="21" s="1"/>
  <c r="V61" i="21"/>
  <c r="P25" i="21"/>
  <c r="V63" i="21"/>
  <c r="P27" i="21"/>
  <c r="V27" i="21" s="1"/>
  <c r="X62" i="21"/>
  <c r="R26" i="21"/>
  <c r="X26" i="21" s="1"/>
  <c r="T65" i="21"/>
  <c r="N29" i="21"/>
  <c r="T67" i="21"/>
  <c r="N31" i="21"/>
  <c r="T31" i="21" s="1"/>
  <c r="V66" i="21"/>
  <c r="P30" i="21"/>
  <c r="V30" i="21" s="1"/>
  <c r="X65" i="21"/>
  <c r="R29" i="21"/>
  <c r="X67" i="21"/>
  <c r="R31" i="21"/>
  <c r="X31" i="21" s="1"/>
  <c r="T70" i="21"/>
  <c r="N34" i="21"/>
  <c r="V69" i="21"/>
  <c r="P33" i="21"/>
  <c r="X70" i="21"/>
  <c r="R34" i="21"/>
  <c r="T75" i="21"/>
  <c r="B39" i="21"/>
  <c r="P432" i="21"/>
  <c r="V420" i="21"/>
  <c r="N453" i="21"/>
  <c r="T441" i="21"/>
  <c r="R453" i="21"/>
  <c r="X441" i="21"/>
  <c r="P453" i="21"/>
  <c r="V453" i="21" s="1"/>
  <c r="V445" i="21"/>
  <c r="N489" i="21"/>
  <c r="T477" i="21"/>
  <c r="R489" i="21"/>
  <c r="X477" i="21"/>
  <c r="P489" i="21"/>
  <c r="V489" i="21" s="1"/>
  <c r="V481" i="21"/>
  <c r="N525" i="21"/>
  <c r="T513" i="21"/>
  <c r="R525" i="21"/>
  <c r="X513" i="21"/>
  <c r="P525" i="21"/>
  <c r="V525" i="21" s="1"/>
  <c r="V517" i="21"/>
  <c r="N373" i="21"/>
  <c r="T373" i="21" s="1"/>
  <c r="T375" i="21"/>
  <c r="R373" i="21"/>
  <c r="X373" i="21" s="1"/>
  <c r="X375" i="21"/>
  <c r="T400" i="21"/>
  <c r="N40" i="21"/>
  <c r="P40" i="21"/>
  <c r="V40" i="21" s="1"/>
  <c r="V400" i="21"/>
  <c r="X400" i="21"/>
  <c r="R40" i="21"/>
  <c r="T89" i="21"/>
  <c r="T100" i="21"/>
  <c r="T136" i="21"/>
  <c r="T172" i="21"/>
  <c r="X172" i="21"/>
  <c r="T189" i="21"/>
  <c r="X189" i="21"/>
  <c r="D201" i="21"/>
  <c r="H201" i="21"/>
  <c r="L201" i="21"/>
  <c r="V204" i="21"/>
  <c r="T208" i="21"/>
  <c r="X208" i="21"/>
  <c r="T225" i="21"/>
  <c r="B252" i="21"/>
  <c r="F252" i="21"/>
  <c r="J252" i="21"/>
  <c r="J273" i="21"/>
  <c r="V265" i="21"/>
  <c r="H288" i="21"/>
  <c r="L288" i="21"/>
  <c r="T280" i="21"/>
  <c r="X280" i="21"/>
  <c r="B309" i="21"/>
  <c r="F309" i="21"/>
  <c r="J309" i="21"/>
  <c r="D309" i="21"/>
  <c r="H309" i="21"/>
  <c r="L309" i="21"/>
  <c r="T305" i="21"/>
  <c r="X305" i="21"/>
  <c r="V312" i="21"/>
  <c r="T316" i="21"/>
  <c r="X316" i="21"/>
  <c r="V320" i="21"/>
  <c r="B345" i="21"/>
  <c r="F345" i="21"/>
  <c r="J345" i="21"/>
  <c r="V337" i="21"/>
  <c r="T341" i="21"/>
  <c r="X341" i="21"/>
  <c r="V348" i="21"/>
  <c r="T352" i="21"/>
  <c r="X352" i="21"/>
  <c r="V356" i="21"/>
  <c r="T45" i="21"/>
  <c r="X45" i="21"/>
  <c r="X53" i="21"/>
  <c r="V60" i="21"/>
  <c r="H72" i="21"/>
  <c r="V68" i="21"/>
  <c r="B9" i="21"/>
  <c r="F9" i="21"/>
  <c r="H13" i="21"/>
  <c r="L13" i="21"/>
  <c r="L21" i="21" s="1"/>
  <c r="B17" i="21"/>
  <c r="J17" i="21"/>
  <c r="V20" i="21"/>
  <c r="X20" i="21"/>
  <c r="H24" i="21"/>
  <c r="L24" i="21"/>
  <c r="J28" i="21"/>
  <c r="J36" i="21" s="1"/>
  <c r="D32" i="21"/>
  <c r="H32" i="21"/>
  <c r="L32" i="21"/>
  <c r="V405" i="21"/>
  <c r="T409" i="21"/>
  <c r="X409" i="21"/>
  <c r="V413" i="21"/>
  <c r="V424" i="21"/>
  <c r="V428" i="21"/>
  <c r="B453" i="21"/>
  <c r="F453" i="21"/>
  <c r="J453" i="21"/>
  <c r="D453" i="21"/>
  <c r="H453" i="21"/>
  <c r="L453" i="21"/>
  <c r="V456" i="21"/>
  <c r="T460" i="21"/>
  <c r="X460" i="21"/>
  <c r="B489" i="21"/>
  <c r="F489" i="21"/>
  <c r="J489" i="21"/>
  <c r="D489" i="21"/>
  <c r="H489" i="21"/>
  <c r="L489" i="21"/>
  <c r="V492" i="21"/>
  <c r="T496" i="21"/>
  <c r="X496" i="21"/>
  <c r="B525" i="21"/>
  <c r="F525" i="21"/>
  <c r="J525" i="21"/>
  <c r="D525" i="21"/>
  <c r="H525" i="21"/>
  <c r="L525" i="21"/>
  <c r="V528" i="21"/>
  <c r="T532" i="21"/>
  <c r="X532" i="21"/>
  <c r="V369" i="21"/>
  <c r="V377" i="21"/>
  <c r="V392" i="21"/>
  <c r="J373" i="21"/>
  <c r="J381" i="21" s="1"/>
  <c r="V374" i="21"/>
  <c r="T378" i="21"/>
  <c r="T385" i="21"/>
  <c r="T389" i="21"/>
  <c r="T393" i="21"/>
  <c r="V684" i="21"/>
  <c r="X669" i="21"/>
  <c r="V648" i="21"/>
  <c r="T576" i="21"/>
  <c r="V576" i="21"/>
  <c r="X561" i="21"/>
  <c r="I74" i="76"/>
  <c r="W69" i="73"/>
  <c r="K8" i="73"/>
  <c r="K8" i="70"/>
  <c r="K26" i="73"/>
  <c r="K27" i="73" s="1"/>
  <c r="K26" i="70"/>
  <c r="K27" i="70" s="1"/>
  <c r="M26" i="73"/>
  <c r="M27" i="73" s="1"/>
  <c r="M26" i="70"/>
  <c r="M27" i="70" s="1"/>
  <c r="K33" i="73"/>
  <c r="K33" i="70"/>
  <c r="M33" i="73"/>
  <c r="M33" i="70"/>
  <c r="M53" i="73"/>
  <c r="M54" i="73" s="1"/>
  <c r="M53" i="70"/>
  <c r="M54" i="70" s="1"/>
  <c r="R93" i="58"/>
  <c r="V612" i="21"/>
  <c r="X597" i="21"/>
  <c r="T597" i="21"/>
  <c r="L53" i="73"/>
  <c r="L53" i="70"/>
  <c r="K54" i="73"/>
  <c r="X369" i="21"/>
  <c r="H65" i="73"/>
  <c r="H65" i="70"/>
  <c r="C65" i="73"/>
  <c r="C65" i="70"/>
  <c r="S71" i="73"/>
  <c r="I21" i="71"/>
  <c r="U68" i="70"/>
  <c r="U75" i="70" s="1"/>
  <c r="U62" i="70"/>
  <c r="F49" i="21"/>
  <c r="F15" i="21"/>
  <c r="J49" i="21"/>
  <c r="J57" i="21" s="1"/>
  <c r="J15" i="21"/>
  <c r="J13" i="21" s="1"/>
  <c r="J21" i="21" s="1"/>
  <c r="N49" i="21"/>
  <c r="N57" i="21" s="1"/>
  <c r="T51" i="21"/>
  <c r="N15" i="21"/>
  <c r="T15" i="21" s="1"/>
  <c r="V50" i="21"/>
  <c r="P14" i="21"/>
  <c r="V52" i="21"/>
  <c r="P16" i="21"/>
  <c r="R49" i="21"/>
  <c r="X49" i="21" s="1"/>
  <c r="X51" i="21"/>
  <c r="R15" i="21"/>
  <c r="P129" i="21"/>
  <c r="V121" i="21"/>
  <c r="T50" i="21"/>
  <c r="N14" i="21"/>
  <c r="T52" i="21"/>
  <c r="N16" i="21"/>
  <c r="T16" i="21" s="1"/>
  <c r="V51" i="21"/>
  <c r="P15" i="21"/>
  <c r="X50" i="21"/>
  <c r="R14" i="21"/>
  <c r="X52" i="21"/>
  <c r="R16" i="21"/>
  <c r="T121" i="21"/>
  <c r="X121" i="21"/>
  <c r="B49" i="21"/>
  <c r="H49" i="21"/>
  <c r="H57" i="21" s="1"/>
  <c r="B13" i="21"/>
  <c r="B21" i="21" s="1"/>
  <c r="F13" i="21"/>
  <c r="P91" i="58"/>
  <c r="R45" i="58"/>
  <c r="R55" i="58"/>
  <c r="R66" i="58"/>
  <c r="Z66" i="58" s="1"/>
  <c r="R63" i="58"/>
  <c r="Z63" i="58" s="1"/>
  <c r="N91" i="58"/>
  <c r="P99" i="58"/>
  <c r="N99" i="58"/>
  <c r="R49" i="26"/>
  <c r="P148" i="26"/>
  <c r="R196" i="26"/>
  <c r="R12" i="58"/>
  <c r="Z12" i="58" s="1"/>
  <c r="R8" i="58"/>
  <c r="Z8" i="58" s="1"/>
  <c r="R14" i="58"/>
  <c r="Z14" i="58" s="1"/>
  <c r="R13" i="58"/>
  <c r="Z13" i="58" s="1"/>
  <c r="R10" i="58"/>
  <c r="Z10" i="58" s="1"/>
  <c r="R9" i="58"/>
  <c r="Z9" i="58" s="1"/>
  <c r="R15" i="58"/>
  <c r="Z15" i="58" s="1"/>
  <c r="R11" i="58"/>
  <c r="Z11" i="58" s="1"/>
  <c r="R80" i="29"/>
  <c r="N81" i="29"/>
  <c r="R81" i="29" s="1"/>
  <c r="R33" i="28"/>
  <c r="P36" i="28"/>
  <c r="R36" i="28" s="1"/>
  <c r="R99" i="27"/>
  <c r="P100" i="27"/>
  <c r="N92" i="27"/>
  <c r="R92" i="27" s="1"/>
  <c r="P84" i="27"/>
  <c r="R84" i="27" s="1"/>
  <c r="R75" i="27"/>
  <c r="P76" i="27"/>
  <c r="R76" i="27" s="1"/>
  <c r="N148" i="26"/>
  <c r="R148" i="26" s="1"/>
  <c r="N136" i="26"/>
  <c r="R121" i="26"/>
  <c r="R123" i="26"/>
  <c r="N124" i="26"/>
  <c r="R124" i="26" s="1"/>
  <c r="R107" i="26"/>
  <c r="N112" i="26"/>
  <c r="D396" i="21"/>
  <c r="H396" i="21"/>
  <c r="P396" i="21"/>
  <c r="V396" i="21" s="1"/>
  <c r="B396" i="21"/>
  <c r="T396" i="21" s="1"/>
  <c r="D381" i="21"/>
  <c r="H381" i="21"/>
  <c r="P381" i="21"/>
  <c r="F381" i="21"/>
  <c r="R381" i="21"/>
  <c r="X381" i="21" s="1"/>
  <c r="B540" i="21"/>
  <c r="F540" i="21"/>
  <c r="J540" i="21"/>
  <c r="N540" i="21"/>
  <c r="R540" i="21"/>
  <c r="D540" i="21"/>
  <c r="H540" i="21"/>
  <c r="L540" i="21"/>
  <c r="P540" i="21"/>
  <c r="D504" i="21"/>
  <c r="H504" i="21"/>
  <c r="L504" i="21"/>
  <c r="P504" i="21"/>
  <c r="V504" i="21" s="1"/>
  <c r="B468" i="21"/>
  <c r="F468" i="21"/>
  <c r="J468" i="21"/>
  <c r="N468" i="21"/>
  <c r="R468" i="21"/>
  <c r="D468" i="21"/>
  <c r="H468" i="21"/>
  <c r="L468" i="21"/>
  <c r="P468" i="21"/>
  <c r="B432" i="21"/>
  <c r="T432" i="21" s="1"/>
  <c r="F432" i="21"/>
  <c r="J432" i="21"/>
  <c r="N432" i="21"/>
  <c r="R432" i="21"/>
  <c r="D417" i="21"/>
  <c r="H417" i="21"/>
  <c r="L417" i="21"/>
  <c r="P417" i="21"/>
  <c r="V417" i="21" s="1"/>
  <c r="R92" i="31"/>
  <c r="R81" i="31"/>
  <c r="R70" i="31"/>
  <c r="R59" i="31"/>
  <c r="R48" i="31"/>
  <c r="R37" i="31"/>
  <c r="R26" i="31"/>
  <c r="R69" i="29"/>
  <c r="N70" i="29"/>
  <c r="R70" i="29" s="1"/>
  <c r="R57" i="29"/>
  <c r="N59" i="29"/>
  <c r="R59" i="29" s="1"/>
  <c r="R46" i="29"/>
  <c r="P48" i="29"/>
  <c r="R48" i="29"/>
  <c r="R35" i="29"/>
  <c r="P37" i="29"/>
  <c r="R37" i="29" s="1"/>
  <c r="R24" i="29"/>
  <c r="R25" i="28"/>
  <c r="P28" i="28"/>
  <c r="R28" i="28" s="1"/>
  <c r="R17" i="28"/>
  <c r="R19" i="28"/>
  <c r="N68" i="27"/>
  <c r="R28" i="27"/>
  <c r="P60" i="27"/>
  <c r="R51" i="27"/>
  <c r="P52" i="27"/>
  <c r="R52" i="27" s="1"/>
  <c r="R43" i="27"/>
  <c r="P44" i="27"/>
  <c r="P36" i="27"/>
  <c r="R36" i="27" s="1"/>
  <c r="R99" i="26"/>
  <c r="N100" i="26"/>
  <c r="R100" i="26" s="1"/>
  <c r="N88" i="26"/>
  <c r="R88" i="26" s="1"/>
  <c r="R75" i="26"/>
  <c r="R71" i="26"/>
  <c r="N76" i="26"/>
  <c r="R76" i="26" s="1"/>
  <c r="N64" i="26"/>
  <c r="R47" i="26"/>
  <c r="N52" i="26"/>
  <c r="R52" i="26" s="1"/>
  <c r="R35" i="26"/>
  <c r="N40" i="26"/>
  <c r="R40" i="26" s="1"/>
  <c r="F72" i="21"/>
  <c r="J72" i="21"/>
  <c r="R72" i="21"/>
  <c r="P72" i="21"/>
  <c r="F57" i="21"/>
  <c r="R57" i="21"/>
  <c r="D57" i="21"/>
  <c r="P57" i="21"/>
  <c r="D360" i="21"/>
  <c r="H360" i="21"/>
  <c r="L360" i="21"/>
  <c r="P360" i="21"/>
  <c r="V360" i="21" s="1"/>
  <c r="D345" i="21"/>
  <c r="H345" i="21"/>
  <c r="L345" i="21"/>
  <c r="P345" i="21"/>
  <c r="V345" i="21" s="1"/>
  <c r="B324" i="21"/>
  <c r="F324" i="21"/>
  <c r="J324" i="21"/>
  <c r="N324" i="21"/>
  <c r="R324" i="21"/>
  <c r="D324" i="21"/>
  <c r="H324" i="21"/>
  <c r="L324" i="21"/>
  <c r="P324" i="21"/>
  <c r="B288" i="21"/>
  <c r="F288" i="21"/>
  <c r="J288" i="21"/>
  <c r="N288" i="21"/>
  <c r="R288" i="21"/>
  <c r="X288" i="21" s="1"/>
  <c r="D273" i="21"/>
  <c r="H273" i="21"/>
  <c r="L273" i="21"/>
  <c r="P273" i="21"/>
  <c r="V273" i="21" s="1"/>
  <c r="B237" i="21"/>
  <c r="F237" i="21"/>
  <c r="J237" i="21"/>
  <c r="N237" i="21"/>
  <c r="R237" i="21"/>
  <c r="X237" i="21" s="1"/>
  <c r="B216" i="21"/>
  <c r="F216" i="21"/>
  <c r="J216" i="21"/>
  <c r="N216" i="21"/>
  <c r="R216" i="21"/>
  <c r="D216" i="21"/>
  <c r="H216" i="21"/>
  <c r="L216" i="21"/>
  <c r="P216" i="21"/>
  <c r="V216" i="21" s="1"/>
  <c r="B201" i="21"/>
  <c r="F201" i="21"/>
  <c r="J201" i="21"/>
  <c r="N201" i="21"/>
  <c r="R201" i="21"/>
  <c r="X201" i="21" s="1"/>
  <c r="B180" i="21"/>
  <c r="F180" i="21"/>
  <c r="J180" i="21"/>
  <c r="N180" i="21"/>
  <c r="R180" i="21"/>
  <c r="D165" i="21"/>
  <c r="H165" i="21"/>
  <c r="L165" i="21"/>
  <c r="P165" i="21"/>
  <c r="B144" i="21"/>
  <c r="F144" i="21"/>
  <c r="J144" i="21"/>
  <c r="N144" i="21"/>
  <c r="R144" i="21"/>
  <c r="D144" i="21"/>
  <c r="H144" i="21"/>
  <c r="L144" i="21"/>
  <c r="P144" i="21"/>
  <c r="D108" i="21"/>
  <c r="H108" i="21"/>
  <c r="L108" i="21"/>
  <c r="P108" i="21"/>
  <c r="V108" i="21" s="1"/>
  <c r="G25" i="76" l="1"/>
  <c r="N69" i="70"/>
  <c r="D25" i="76"/>
  <c r="D27" i="76"/>
  <c r="D22" i="76"/>
  <c r="D29" i="76"/>
  <c r="D61" i="76"/>
  <c r="F36" i="21"/>
  <c r="D62" i="70"/>
  <c r="D68" i="70"/>
  <c r="D75" i="70" s="1"/>
  <c r="Q68" i="73"/>
  <c r="Q75" i="73" s="1"/>
  <c r="Q62" i="73"/>
  <c r="Q69" i="73" s="1"/>
  <c r="E26" i="73"/>
  <c r="E27" i="73" s="1"/>
  <c r="E26" i="70"/>
  <c r="E27" i="70" s="1"/>
  <c r="G70" i="76"/>
  <c r="E29" i="70"/>
  <c r="E9" i="70"/>
  <c r="D17" i="21"/>
  <c r="T201" i="21"/>
  <c r="T324" i="21"/>
  <c r="P14" i="73"/>
  <c r="P15" i="73" s="1"/>
  <c r="P14" i="70"/>
  <c r="P15" i="70" s="1"/>
  <c r="R23" i="73"/>
  <c r="R24" i="73" s="1"/>
  <c r="R23" i="70"/>
  <c r="R24" i="70" s="1"/>
  <c r="G13" i="76" s="1"/>
  <c r="X432" i="21"/>
  <c r="V49" i="21"/>
  <c r="H21" i="21"/>
  <c r="X12" i="21"/>
  <c r="P45" i="70"/>
  <c r="P37" i="70"/>
  <c r="O62" i="70"/>
  <c r="O68" i="70"/>
  <c r="O75" i="70" s="1"/>
  <c r="R20" i="73"/>
  <c r="R21" i="73" s="1"/>
  <c r="R20" i="70"/>
  <c r="R21" i="70" s="1"/>
  <c r="E9" i="73"/>
  <c r="R26" i="29"/>
  <c r="R68" i="27"/>
  <c r="P20" i="73"/>
  <c r="P21" i="73" s="1"/>
  <c r="P20" i="70"/>
  <c r="P21" i="70" s="1"/>
  <c r="R112" i="26"/>
  <c r="R100" i="27"/>
  <c r="F14" i="73"/>
  <c r="F15" i="73" s="1"/>
  <c r="F14" i="70"/>
  <c r="F15" i="70" s="1"/>
  <c r="V129" i="21"/>
  <c r="R396" i="21"/>
  <c r="G60" i="76"/>
  <c r="D64" i="76"/>
  <c r="P45" i="73"/>
  <c r="P37" i="73"/>
  <c r="D21" i="76"/>
  <c r="G34" i="73"/>
  <c r="J26" i="73"/>
  <c r="J26" i="70"/>
  <c r="N69" i="73"/>
  <c r="O68" i="73"/>
  <c r="O75" i="73" s="1"/>
  <c r="O62" i="73"/>
  <c r="O69" i="73" s="1"/>
  <c r="E17" i="73"/>
  <c r="E18" i="73" s="1"/>
  <c r="E17" i="70"/>
  <c r="E18" i="70" s="1"/>
  <c r="F8" i="73"/>
  <c r="F8" i="70"/>
  <c r="B72" i="21"/>
  <c r="F34" i="70"/>
  <c r="G29" i="73"/>
  <c r="G9" i="73"/>
  <c r="R12" i="70"/>
  <c r="R29" i="70"/>
  <c r="E20" i="73"/>
  <c r="E21" i="73" s="1"/>
  <c r="D51" i="76" s="1"/>
  <c r="E20" i="70"/>
  <c r="E21" i="70" s="1"/>
  <c r="D12" i="76" s="1"/>
  <c r="G26" i="73"/>
  <c r="G27" i="73" s="1"/>
  <c r="G26" i="70"/>
  <c r="G27" i="70" s="1"/>
  <c r="P17" i="73"/>
  <c r="P18" i="73" s="1"/>
  <c r="G50" i="76" s="1"/>
  <c r="P17" i="70"/>
  <c r="P18" i="70" s="1"/>
  <c r="G11" i="76" s="1"/>
  <c r="J36" i="73"/>
  <c r="J36" i="70"/>
  <c r="E23" i="73"/>
  <c r="E24" i="73" s="1"/>
  <c r="E23" i="70"/>
  <c r="E24" i="70" s="1"/>
  <c r="G11" i="73"/>
  <c r="G12" i="73" s="1"/>
  <c r="G11" i="70"/>
  <c r="G12" i="70" s="1"/>
  <c r="V57" i="21"/>
  <c r="E14" i="73"/>
  <c r="E15" i="73" s="1"/>
  <c r="E14" i="70"/>
  <c r="E15" i="70" s="1"/>
  <c r="J20" i="73"/>
  <c r="J20" i="70"/>
  <c r="G36" i="73"/>
  <c r="G37" i="73" s="1"/>
  <c r="G36" i="70"/>
  <c r="G37" i="70" s="1"/>
  <c r="V11" i="21"/>
  <c r="D68" i="73"/>
  <c r="D75" i="73" s="1"/>
  <c r="D62" i="73"/>
  <c r="G34" i="70"/>
  <c r="G17" i="73"/>
  <c r="G18" i="73" s="1"/>
  <c r="G17" i="70"/>
  <c r="G18" i="70" s="1"/>
  <c r="G14" i="73"/>
  <c r="G15" i="73" s="1"/>
  <c r="G14" i="70"/>
  <c r="G15" i="70" s="1"/>
  <c r="G9" i="70"/>
  <c r="R64" i="26"/>
  <c r="R44" i="27"/>
  <c r="N381" i="21"/>
  <c r="T381" i="21" s="1"/>
  <c r="F36" i="73"/>
  <c r="F37" i="73" s="1"/>
  <c r="F36" i="70"/>
  <c r="F37" i="70" s="1"/>
  <c r="J33" i="73"/>
  <c r="J33" i="70"/>
  <c r="T144" i="21"/>
  <c r="V165" i="21"/>
  <c r="X180" i="21"/>
  <c r="T237" i="21"/>
  <c r="N72" i="21"/>
  <c r="T72" i="21" s="1"/>
  <c r="E11" i="73"/>
  <c r="E12" i="73" s="1"/>
  <c r="E11" i="70"/>
  <c r="E12" i="70" s="1"/>
  <c r="J17" i="73"/>
  <c r="J29" i="73" s="1"/>
  <c r="J17" i="70"/>
  <c r="P11" i="73"/>
  <c r="P11" i="70"/>
  <c r="T468" i="21"/>
  <c r="V540" i="21"/>
  <c r="E33" i="73"/>
  <c r="E33" i="70"/>
  <c r="R136" i="26"/>
  <c r="J42" i="73"/>
  <c r="J42" i="70"/>
  <c r="R36" i="73"/>
  <c r="R36" i="70"/>
  <c r="F21" i="21"/>
  <c r="B57" i="21"/>
  <c r="X16" i="21"/>
  <c r="V15" i="21"/>
  <c r="V64" i="21"/>
  <c r="T40" i="21"/>
  <c r="X34" i="21"/>
  <c r="T34" i="21"/>
  <c r="X39" i="21"/>
  <c r="T417" i="21"/>
  <c r="Q62" i="70"/>
  <c r="Q69" i="70" s="1"/>
  <c r="Q68" i="70"/>
  <c r="Q75" i="70" s="1"/>
  <c r="G21" i="76"/>
  <c r="D60" i="76"/>
  <c r="N68" i="73"/>
  <c r="N75" i="73" s="1"/>
  <c r="D68" i="76"/>
  <c r="D66" i="76"/>
  <c r="T369" i="21"/>
  <c r="G23" i="73"/>
  <c r="G24" i="73" s="1"/>
  <c r="G23" i="70"/>
  <c r="G24" i="70" s="1"/>
  <c r="H17" i="21"/>
  <c r="D9" i="21"/>
  <c r="D21" i="21" s="1"/>
  <c r="G31" i="76"/>
  <c r="J29" i="70"/>
  <c r="G64" i="76"/>
  <c r="F34" i="73"/>
  <c r="R14" i="73"/>
  <c r="R15" i="73" s="1"/>
  <c r="R14" i="70"/>
  <c r="R15" i="70" s="1"/>
  <c r="Z20" i="28"/>
  <c r="G52" i="76"/>
  <c r="R29" i="73"/>
  <c r="R12" i="73"/>
  <c r="V33" i="21"/>
  <c r="P32" i="21"/>
  <c r="X29" i="21"/>
  <c r="R28" i="21"/>
  <c r="T29" i="21"/>
  <c r="N28" i="21"/>
  <c r="T28" i="21" s="1"/>
  <c r="V25" i="21"/>
  <c r="P24" i="21"/>
  <c r="X18" i="21"/>
  <c r="R17" i="21"/>
  <c r="T18" i="21"/>
  <c r="N17" i="21"/>
  <c r="X10" i="21"/>
  <c r="R9" i="21"/>
  <c r="V12" i="21"/>
  <c r="T12" i="21"/>
  <c r="T10" i="21"/>
  <c r="N9" i="21"/>
  <c r="T9" i="21" s="1"/>
  <c r="P17" i="21"/>
  <c r="V18" i="21"/>
  <c r="V19" i="21"/>
  <c r="T19" i="21"/>
  <c r="P9" i="21"/>
  <c r="V10" i="21"/>
  <c r="V144" i="21"/>
  <c r="X144" i="21"/>
  <c r="T180" i="21"/>
  <c r="T216" i="21"/>
  <c r="T288" i="21"/>
  <c r="V324" i="21"/>
  <c r="X324" i="21"/>
  <c r="X72" i="21"/>
  <c r="V468" i="21"/>
  <c r="X468" i="21"/>
  <c r="T540" i="21"/>
  <c r="H36" i="21"/>
  <c r="X40" i="21"/>
  <c r="V373" i="21"/>
  <c r="T39" i="21"/>
  <c r="X30" i="21"/>
  <c r="X19" i="21"/>
  <c r="X11" i="21"/>
  <c r="B36" i="21"/>
  <c r="X33" i="21"/>
  <c r="R32" i="21"/>
  <c r="X32" i="21" s="1"/>
  <c r="T33" i="21"/>
  <c r="N32" i="21"/>
  <c r="T32" i="21" s="1"/>
  <c r="V29" i="21"/>
  <c r="P28" i="21"/>
  <c r="V28" i="21" s="1"/>
  <c r="X25" i="21"/>
  <c r="R24" i="21"/>
  <c r="T25" i="21"/>
  <c r="N24" i="21"/>
  <c r="X216" i="21"/>
  <c r="X540" i="21"/>
  <c r="L36" i="21"/>
  <c r="D36" i="21"/>
  <c r="X525" i="21"/>
  <c r="T525" i="21"/>
  <c r="X489" i="21"/>
  <c r="T489" i="21"/>
  <c r="X453" i="21"/>
  <c r="T453" i="21"/>
  <c r="V432" i="21"/>
  <c r="X345" i="21"/>
  <c r="T345" i="21"/>
  <c r="X309" i="21"/>
  <c r="T309" i="21"/>
  <c r="V288" i="21"/>
  <c r="X273" i="21"/>
  <c r="T252" i="21"/>
  <c r="V252" i="21"/>
  <c r="V201" i="21"/>
  <c r="V180" i="21"/>
  <c r="X165" i="21"/>
  <c r="X396" i="21"/>
  <c r="X504" i="21"/>
  <c r="X417" i="21"/>
  <c r="V34" i="21"/>
  <c r="V31" i="21"/>
  <c r="X27" i="21"/>
  <c r="V26" i="21"/>
  <c r="X360" i="21"/>
  <c r="V237" i="21"/>
  <c r="X108" i="21"/>
  <c r="T108" i="21"/>
  <c r="V93" i="21"/>
  <c r="X93" i="21"/>
  <c r="U69" i="70"/>
  <c r="S70" i="70" s="1"/>
  <c r="D21" i="71" s="1"/>
  <c r="H33" i="76"/>
  <c r="H35" i="76" s="1"/>
  <c r="V70" i="73"/>
  <c r="L8" i="73"/>
  <c r="L8" i="70"/>
  <c r="L26" i="73"/>
  <c r="L27" i="73" s="1"/>
  <c r="F53" i="76" s="1"/>
  <c r="L26" i="70"/>
  <c r="L27" i="70" s="1"/>
  <c r="F14" i="76" s="1"/>
  <c r="M45" i="70"/>
  <c r="M34" i="70"/>
  <c r="M46" i="70" s="1"/>
  <c r="K45" i="70"/>
  <c r="K34" i="70"/>
  <c r="K9" i="70"/>
  <c r="K29" i="70"/>
  <c r="K29" i="73"/>
  <c r="K9" i="73"/>
  <c r="M8" i="73"/>
  <c r="M8" i="70"/>
  <c r="L33" i="73"/>
  <c r="L33" i="70"/>
  <c r="M45" i="73"/>
  <c r="M34" i="73"/>
  <c r="M46" i="73" s="1"/>
  <c r="K45" i="73"/>
  <c r="K34" i="73"/>
  <c r="R91" i="58"/>
  <c r="L54" i="70"/>
  <c r="F29" i="76" s="1"/>
  <c r="L54" i="73"/>
  <c r="F68" i="76" s="1"/>
  <c r="H68" i="73"/>
  <c r="H68" i="70"/>
  <c r="C68" i="73"/>
  <c r="C75" i="73" s="1"/>
  <c r="C66" i="73"/>
  <c r="D70" i="76" s="1"/>
  <c r="C66" i="70"/>
  <c r="D31" i="76" s="1"/>
  <c r="C68" i="70"/>
  <c r="C75" i="70" s="1"/>
  <c r="S71" i="70"/>
  <c r="P13" i="21"/>
  <c r="V14" i="21"/>
  <c r="X57" i="21"/>
  <c r="X129" i="21"/>
  <c r="V16" i="21"/>
  <c r="T49" i="21"/>
  <c r="X14" i="21"/>
  <c r="R13" i="21"/>
  <c r="T14" i="21"/>
  <c r="N13" i="21"/>
  <c r="T57" i="21"/>
  <c r="X15" i="21"/>
  <c r="W30" i="70"/>
  <c r="R99" i="58"/>
  <c r="G10" i="76" l="1"/>
  <c r="D20" i="76"/>
  <c r="F46" i="70"/>
  <c r="D49" i="76"/>
  <c r="D53" i="76"/>
  <c r="D59" i="76"/>
  <c r="R68" i="73"/>
  <c r="R75" i="73" s="1"/>
  <c r="G29" i="70"/>
  <c r="D69" i="73"/>
  <c r="D72" i="76"/>
  <c r="F9" i="70"/>
  <c r="F30" i="70" s="1"/>
  <c r="F69" i="70" s="1"/>
  <c r="F29" i="70"/>
  <c r="G45" i="73"/>
  <c r="G49" i="76"/>
  <c r="X9" i="21"/>
  <c r="F46" i="73"/>
  <c r="R37" i="70"/>
  <c r="R46" i="70" s="1"/>
  <c r="R45" i="70"/>
  <c r="R68" i="70" s="1"/>
  <c r="R75" i="70" s="1"/>
  <c r="G30" i="70"/>
  <c r="V72" i="21"/>
  <c r="F29" i="73"/>
  <c r="F68" i="73" s="1"/>
  <c r="F75" i="73" s="1"/>
  <c r="F9" i="73"/>
  <c r="F30" i="73" s="1"/>
  <c r="R30" i="73"/>
  <c r="E45" i="73"/>
  <c r="E34" i="73"/>
  <c r="P29" i="73"/>
  <c r="P68" i="73" s="1"/>
  <c r="P12" i="73"/>
  <c r="D48" i="76"/>
  <c r="G46" i="70"/>
  <c r="D10" i="76"/>
  <c r="D52" i="76"/>
  <c r="G30" i="73"/>
  <c r="D50" i="76"/>
  <c r="G72" i="76"/>
  <c r="G46" i="73"/>
  <c r="G12" i="76"/>
  <c r="V381" i="21"/>
  <c r="D14" i="76"/>
  <c r="G33" i="76"/>
  <c r="O69" i="70"/>
  <c r="E30" i="70"/>
  <c r="D69" i="70"/>
  <c r="D33" i="76"/>
  <c r="X17" i="21"/>
  <c r="J45" i="70"/>
  <c r="J68" i="70" s="1"/>
  <c r="E30" i="73"/>
  <c r="F45" i="73"/>
  <c r="R45" i="73"/>
  <c r="R37" i="73"/>
  <c r="R46" i="73" s="1"/>
  <c r="E34" i="70"/>
  <c r="E45" i="70"/>
  <c r="E68" i="70" s="1"/>
  <c r="E75" i="70" s="1"/>
  <c r="P29" i="70"/>
  <c r="P68" i="70" s="1"/>
  <c r="P12" i="70"/>
  <c r="P30" i="70" s="1"/>
  <c r="D9" i="76"/>
  <c r="J45" i="73"/>
  <c r="J68" i="73" s="1"/>
  <c r="G45" i="70"/>
  <c r="D13" i="76"/>
  <c r="R30" i="70"/>
  <c r="R69" i="70" s="1"/>
  <c r="F45" i="70"/>
  <c r="D11" i="76"/>
  <c r="P46" i="73"/>
  <c r="G51" i="76"/>
  <c r="E29" i="73"/>
  <c r="E68" i="73" s="1"/>
  <c r="E75" i="73" s="1"/>
  <c r="P46" i="70"/>
  <c r="G20" i="76"/>
  <c r="G23" i="76" s="1"/>
  <c r="N36" i="21"/>
  <c r="T24" i="21"/>
  <c r="V9" i="21"/>
  <c r="R36" i="21"/>
  <c r="X24" i="21"/>
  <c r="V17" i="21"/>
  <c r="T17" i="21"/>
  <c r="P36" i="21"/>
  <c r="V24" i="21"/>
  <c r="T36" i="21"/>
  <c r="X28" i="21"/>
  <c r="V32" i="21"/>
  <c r="K30" i="70"/>
  <c r="V71" i="73"/>
  <c r="I23" i="71"/>
  <c r="K68" i="70"/>
  <c r="K75" i="70" s="1"/>
  <c r="K46" i="73"/>
  <c r="L45" i="70"/>
  <c r="L34" i="70"/>
  <c r="L46" i="70" s="1"/>
  <c r="M9" i="70"/>
  <c r="M30" i="70" s="1"/>
  <c r="M69" i="70" s="1"/>
  <c r="M29" i="70"/>
  <c r="M68" i="70" s="1"/>
  <c r="M75" i="70" s="1"/>
  <c r="M29" i="73"/>
  <c r="M68" i="73" s="1"/>
  <c r="M75" i="73" s="1"/>
  <c r="M9" i="73"/>
  <c r="M30" i="73" s="1"/>
  <c r="M69" i="73" s="1"/>
  <c r="L29" i="73"/>
  <c r="L9" i="73"/>
  <c r="L30" i="73" s="1"/>
  <c r="K68" i="73"/>
  <c r="K75" i="73" s="1"/>
  <c r="L45" i="73"/>
  <c r="L34" i="73"/>
  <c r="L46" i="73" s="1"/>
  <c r="K30" i="73"/>
  <c r="K46" i="70"/>
  <c r="L9" i="70"/>
  <c r="L29" i="70"/>
  <c r="L68" i="70" s="1"/>
  <c r="L75" i="70" s="1"/>
  <c r="C69" i="70"/>
  <c r="C69" i="73"/>
  <c r="W69" i="70"/>
  <c r="V70" i="70" s="1"/>
  <c r="D23" i="71" s="1"/>
  <c r="V13" i="21"/>
  <c r="P21" i="21"/>
  <c r="T13" i="21"/>
  <c r="N21" i="21"/>
  <c r="T21" i="21" s="1"/>
  <c r="X13" i="21"/>
  <c r="R21" i="21"/>
  <c r="X21" i="21" s="1"/>
  <c r="P27" i="66"/>
  <c r="N27" i="66"/>
  <c r="P26" i="66"/>
  <c r="N26" i="66"/>
  <c r="P25" i="66"/>
  <c r="N25" i="66"/>
  <c r="P19" i="66"/>
  <c r="N19" i="66"/>
  <c r="P18" i="66"/>
  <c r="N18" i="66"/>
  <c r="P17" i="66"/>
  <c r="N17" i="66"/>
  <c r="P11" i="66"/>
  <c r="N11" i="66"/>
  <c r="P10" i="66"/>
  <c r="N10" i="66"/>
  <c r="P9" i="66"/>
  <c r="N9" i="66"/>
  <c r="P69" i="70" l="1"/>
  <c r="D8" i="76"/>
  <c r="D16" i="76" s="1"/>
  <c r="F69" i="73"/>
  <c r="G69" i="70"/>
  <c r="D47" i="76"/>
  <c r="D55" i="76" s="1"/>
  <c r="D58" i="76"/>
  <c r="D62" i="76" s="1"/>
  <c r="E46" i="73"/>
  <c r="E69" i="73" s="1"/>
  <c r="G59" i="76"/>
  <c r="G62" i="76" s="1"/>
  <c r="G9" i="76"/>
  <c r="G16" i="76" s="1"/>
  <c r="G35" i="76" s="1"/>
  <c r="D19" i="76"/>
  <c r="D23" i="76" s="1"/>
  <c r="E46" i="70"/>
  <c r="E69" i="70" s="1"/>
  <c r="G48" i="76"/>
  <c r="G55" i="76" s="1"/>
  <c r="P30" i="73"/>
  <c r="P69" i="73" s="1"/>
  <c r="R69" i="73"/>
  <c r="F68" i="70"/>
  <c r="F75" i="70" s="1"/>
  <c r="G68" i="70"/>
  <c r="G75" i="70" s="1"/>
  <c r="N70" i="70"/>
  <c r="R11" i="66"/>
  <c r="V36" i="21"/>
  <c r="G68" i="73"/>
  <c r="G75" i="73" s="1"/>
  <c r="G69" i="73"/>
  <c r="X36" i="21"/>
  <c r="F8" i="76"/>
  <c r="F16" i="76" s="1"/>
  <c r="F19" i="76"/>
  <c r="F23" i="76" s="1"/>
  <c r="F58" i="76"/>
  <c r="F62" i="76" s="1"/>
  <c r="F47" i="76"/>
  <c r="F55" i="76" s="1"/>
  <c r="L69" i="73"/>
  <c r="K69" i="70"/>
  <c r="L68" i="73"/>
  <c r="L75" i="73" s="1"/>
  <c r="L30" i="70"/>
  <c r="K69" i="73"/>
  <c r="V21" i="21"/>
  <c r="R26" i="66"/>
  <c r="R18" i="66"/>
  <c r="R10" i="66"/>
  <c r="R17" i="66"/>
  <c r="R19" i="66"/>
  <c r="R25" i="66"/>
  <c r="R27" i="66"/>
  <c r="R9" i="66"/>
  <c r="P15" i="26"/>
  <c r="N15" i="26"/>
  <c r="P13" i="26"/>
  <c r="N13" i="26"/>
  <c r="P11" i="26"/>
  <c r="N11" i="26"/>
  <c r="P9" i="26"/>
  <c r="N9" i="26"/>
  <c r="P7" i="26"/>
  <c r="N7" i="26"/>
  <c r="N16" i="26" s="1"/>
  <c r="L16" i="26"/>
  <c r="J16" i="26"/>
  <c r="H16" i="26"/>
  <c r="F16" i="26"/>
  <c r="D16" i="26"/>
  <c r="B16" i="26"/>
  <c r="B12" i="27"/>
  <c r="L12" i="27"/>
  <c r="J12" i="27"/>
  <c r="H12" i="27"/>
  <c r="F12" i="27"/>
  <c r="D12" i="27"/>
  <c r="P11" i="27"/>
  <c r="N11" i="27"/>
  <c r="P9" i="27"/>
  <c r="N9" i="27"/>
  <c r="P7" i="27"/>
  <c r="P12" i="27" s="1"/>
  <c r="N7" i="27"/>
  <c r="L12" i="28"/>
  <c r="J12" i="28"/>
  <c r="H12" i="28"/>
  <c r="F12" i="28"/>
  <c r="D12" i="28"/>
  <c r="B12" i="28"/>
  <c r="P11" i="28"/>
  <c r="N11" i="28"/>
  <c r="P9" i="28"/>
  <c r="N9" i="28"/>
  <c r="P7" i="28"/>
  <c r="N7" i="28"/>
  <c r="L15" i="29"/>
  <c r="J15" i="29"/>
  <c r="H15" i="29"/>
  <c r="F15" i="29"/>
  <c r="D15" i="29"/>
  <c r="B15" i="29"/>
  <c r="P14" i="29"/>
  <c r="N14" i="29"/>
  <c r="P13" i="29"/>
  <c r="N13" i="29"/>
  <c r="N9" i="29"/>
  <c r="P9" i="29"/>
  <c r="N10" i="29"/>
  <c r="P10" i="29"/>
  <c r="R10" i="29" s="1"/>
  <c r="P8" i="29"/>
  <c r="N8" i="29"/>
  <c r="L15" i="31"/>
  <c r="J15" i="31"/>
  <c r="H15" i="31"/>
  <c r="F15" i="31"/>
  <c r="D15" i="31"/>
  <c r="B15" i="31"/>
  <c r="B10" i="31"/>
  <c r="D10" i="31"/>
  <c r="F10" i="31"/>
  <c r="H10" i="31"/>
  <c r="J10" i="31"/>
  <c r="L10" i="31"/>
  <c r="D35" i="76" l="1"/>
  <c r="C70" i="70"/>
  <c r="C71" i="70" s="1"/>
  <c r="C70" i="73"/>
  <c r="C71" i="73" s="1"/>
  <c r="D74" i="76"/>
  <c r="N12" i="28"/>
  <c r="R11" i="27"/>
  <c r="G74" i="76"/>
  <c r="D20" i="71"/>
  <c r="O71" i="70"/>
  <c r="N70" i="73"/>
  <c r="F35" i="76"/>
  <c r="F74" i="76"/>
  <c r="K70" i="73"/>
  <c r="I18" i="71" s="1"/>
  <c r="L69" i="70"/>
  <c r="R7" i="28"/>
  <c r="R9" i="28"/>
  <c r="R11" i="28"/>
  <c r="R7" i="27"/>
  <c r="H75" i="73" s="1"/>
  <c r="V71" i="70"/>
  <c r="N15" i="29"/>
  <c r="R13" i="29"/>
  <c r="R14" i="29"/>
  <c r="P12" i="28"/>
  <c r="R15" i="31"/>
  <c r="R8" i="29"/>
  <c r="P15" i="29"/>
  <c r="R9" i="29"/>
  <c r="R9" i="27"/>
  <c r="N12" i="27"/>
  <c r="R7" i="26"/>
  <c r="R9" i="26"/>
  <c r="R11" i="26"/>
  <c r="R13" i="26"/>
  <c r="R15" i="26"/>
  <c r="R10" i="31"/>
  <c r="P16" i="26"/>
  <c r="D16" i="71" l="1"/>
  <c r="I16" i="71"/>
  <c r="O71" i="73"/>
  <c r="I20" i="71"/>
  <c r="R12" i="27"/>
  <c r="I75" i="70"/>
  <c r="I75" i="73"/>
  <c r="H75" i="70"/>
  <c r="J75" i="73"/>
  <c r="J75" i="70"/>
  <c r="L71" i="73"/>
  <c r="K70" i="70"/>
  <c r="R12" i="28"/>
  <c r="R15" i="29"/>
  <c r="R16" i="26"/>
  <c r="L71" i="70" l="1"/>
  <c r="D18" i="71"/>
  <c r="H66" i="70" l="1"/>
  <c r="H62" i="70" l="1"/>
  <c r="H69" i="70" l="1"/>
  <c r="H66" i="73"/>
  <c r="H62" i="73"/>
  <c r="H69" i="73" l="1"/>
  <c r="H37" i="71"/>
  <c r="C38" i="71"/>
  <c r="I66" i="73" l="1"/>
  <c r="I62" i="73"/>
  <c r="E72" i="76" s="1"/>
  <c r="K72" i="76" s="1"/>
  <c r="J66" i="70"/>
  <c r="J43" i="70"/>
  <c r="J37" i="70"/>
  <c r="E20" i="76" s="1"/>
  <c r="K20" i="76" s="1"/>
  <c r="J40" i="70"/>
  <c r="J15" i="70"/>
  <c r="E10" i="76" s="1"/>
  <c r="K10" i="76" s="1"/>
  <c r="J34" i="70"/>
  <c r="E19" i="76" s="1"/>
  <c r="J12" i="70"/>
  <c r="E9" i="76" s="1"/>
  <c r="K9" i="76" s="1"/>
  <c r="J24" i="70"/>
  <c r="E13" i="76" s="1"/>
  <c r="K13" i="76" s="1"/>
  <c r="J54" i="70"/>
  <c r="E29" i="76" s="1"/>
  <c r="K29" i="76" s="1"/>
  <c r="J27" i="70"/>
  <c r="E14" i="76" s="1"/>
  <c r="K14" i="76" s="1"/>
  <c r="J50" i="70"/>
  <c r="E25" i="76" s="1"/>
  <c r="K25" i="76" s="1"/>
  <c r="J21" i="70"/>
  <c r="E12" i="76" s="1"/>
  <c r="K12" i="76" s="1"/>
  <c r="J18" i="70"/>
  <c r="E11" i="76" s="1"/>
  <c r="K11" i="76" s="1"/>
  <c r="J9" i="70"/>
  <c r="E8" i="76" s="1"/>
  <c r="J58" i="70"/>
  <c r="E27" i="76" s="1"/>
  <c r="K27" i="76" s="1"/>
  <c r="H38" i="71"/>
  <c r="I62" i="70"/>
  <c r="E33" i="76" s="1"/>
  <c r="K33" i="76" s="1"/>
  <c r="I66" i="70"/>
  <c r="E22" i="76" l="1"/>
  <c r="K22" i="76" s="1"/>
  <c r="M22" i="76" s="1"/>
  <c r="E21" i="76"/>
  <c r="K21" i="76" s="1"/>
  <c r="M21" i="76" s="1"/>
  <c r="E31" i="76"/>
  <c r="K31" i="76" s="1"/>
  <c r="M31" i="76" s="1"/>
  <c r="M33" i="76"/>
  <c r="M27" i="76"/>
  <c r="M11" i="76"/>
  <c r="M25" i="76"/>
  <c r="M29" i="76"/>
  <c r="M9" i="76"/>
  <c r="M10" i="76"/>
  <c r="M20" i="76"/>
  <c r="E16" i="76"/>
  <c r="K8" i="76"/>
  <c r="M12" i="76"/>
  <c r="M14" i="76"/>
  <c r="M13" i="76"/>
  <c r="K19" i="76"/>
  <c r="I69" i="70"/>
  <c r="J12" i="73"/>
  <c r="E48" i="76" s="1"/>
  <c r="K48" i="76" s="1"/>
  <c r="J27" i="73"/>
  <c r="E53" i="76" s="1"/>
  <c r="K53" i="76" s="1"/>
  <c r="J43" i="73"/>
  <c r="J24" i="73"/>
  <c r="E52" i="76" s="1"/>
  <c r="K52" i="76" s="1"/>
  <c r="J21" i="73"/>
  <c r="E51" i="76" s="1"/>
  <c r="K51" i="76" s="1"/>
  <c r="J9" i="73"/>
  <c r="E47" i="76" s="1"/>
  <c r="J66" i="73"/>
  <c r="E70" i="76" s="1"/>
  <c r="K70" i="76" s="1"/>
  <c r="J18" i="73"/>
  <c r="E50" i="76" s="1"/>
  <c r="K50" i="76" s="1"/>
  <c r="J50" i="73"/>
  <c r="E64" i="76" s="1"/>
  <c r="K64" i="76" s="1"/>
  <c r="J40" i="73"/>
  <c r="J15" i="73"/>
  <c r="E49" i="76" s="1"/>
  <c r="K49" i="76" s="1"/>
  <c r="J34" i="73"/>
  <c r="E58" i="76" s="1"/>
  <c r="J54" i="73"/>
  <c r="E68" i="76" s="1"/>
  <c r="K68" i="76" s="1"/>
  <c r="J37" i="73"/>
  <c r="E59" i="76" s="1"/>
  <c r="K59" i="76" s="1"/>
  <c r="J58" i="73"/>
  <c r="E66" i="76" s="1"/>
  <c r="K66" i="76" s="1"/>
  <c r="J30" i="70"/>
  <c r="J46" i="70"/>
  <c r="I69" i="73"/>
  <c r="E23" i="76" l="1"/>
  <c r="K23" i="76" s="1"/>
  <c r="M23" i="76" s="1"/>
  <c r="E61" i="76"/>
  <c r="K61" i="76" s="1"/>
  <c r="E60" i="76"/>
  <c r="K60" i="76" s="1"/>
  <c r="K58" i="76"/>
  <c r="E55" i="76"/>
  <c r="K47" i="76"/>
  <c r="M19" i="76"/>
  <c r="M8" i="76"/>
  <c r="K16" i="76"/>
  <c r="J46" i="73"/>
  <c r="J30" i="73"/>
  <c r="J69" i="70"/>
  <c r="E35" i="76" l="1"/>
  <c r="E62" i="76"/>
  <c r="K62" i="76" s="1"/>
  <c r="K35" i="76"/>
  <c r="E36" i="76" s="1"/>
  <c r="M16" i="76"/>
  <c r="M35" i="76" s="1"/>
  <c r="K55" i="76"/>
  <c r="H70" i="70"/>
  <c r="H71" i="70" s="1"/>
  <c r="J69" i="73"/>
  <c r="E74" i="76" l="1"/>
  <c r="K74" i="76" s="1"/>
  <c r="E75" i="76" s="1"/>
  <c r="L16" i="76"/>
  <c r="L21" i="76"/>
  <c r="L15" i="76"/>
  <c r="J36" i="76"/>
  <c r="I36" i="76"/>
  <c r="G36" i="76"/>
  <c r="H36" i="76"/>
  <c r="D36" i="76"/>
  <c r="F36" i="76"/>
  <c r="L31" i="76"/>
  <c r="L33" i="76"/>
  <c r="L27" i="76"/>
  <c r="L11" i="76"/>
  <c r="L25" i="76"/>
  <c r="L29" i="76"/>
  <c r="L9" i="76"/>
  <c r="L10" i="76"/>
  <c r="L20" i="76"/>
  <c r="L12" i="76"/>
  <c r="L14" i="76"/>
  <c r="L13" i="76"/>
  <c r="L22" i="76"/>
  <c r="L23" i="76"/>
  <c r="L19" i="76"/>
  <c r="L8" i="76"/>
  <c r="D17" i="71"/>
  <c r="H70" i="73"/>
  <c r="L55" i="76" l="1"/>
  <c r="L54" i="76"/>
  <c r="J75" i="76"/>
  <c r="H75" i="76"/>
  <c r="I75" i="76"/>
  <c r="G75" i="76"/>
  <c r="D75" i="76"/>
  <c r="F75" i="76"/>
  <c r="L72" i="76"/>
  <c r="L59" i="76"/>
  <c r="L50" i="76"/>
  <c r="L53" i="76"/>
  <c r="L68" i="76"/>
  <c r="L64" i="76"/>
  <c r="L61" i="76"/>
  <c r="L70" i="76"/>
  <c r="L60" i="76"/>
  <c r="L52" i="76"/>
  <c r="L66" i="76"/>
  <c r="L49" i="76"/>
  <c r="L51" i="76"/>
  <c r="L48" i="76"/>
  <c r="L58" i="76"/>
  <c r="L47" i="76"/>
  <c r="L62" i="76"/>
  <c r="K36" i="76"/>
  <c r="H71" i="73"/>
  <c r="I17" i="71"/>
  <c r="K75" i="76" l="1"/>
  <c r="Y58" i="70"/>
  <c r="AH58" i="70" s="1"/>
  <c r="Y40" i="70"/>
  <c r="Y58" i="73" l="1"/>
  <c r="AH58" i="73" s="1"/>
  <c r="AF58" i="70"/>
  <c r="AB58" i="70"/>
  <c r="AE58" i="70"/>
  <c r="F28" i="72"/>
  <c r="AD58" i="70"/>
  <c r="AG58" i="70"/>
  <c r="AC58" i="70"/>
  <c r="Y54" i="70"/>
  <c r="Y66" i="70"/>
  <c r="X46" i="70"/>
  <c r="Y43" i="70"/>
  <c r="Y37" i="70"/>
  <c r="AE40" i="70"/>
  <c r="AG40" i="70"/>
  <c r="AF40" i="70"/>
  <c r="F20" i="72"/>
  <c r="AC40" i="70"/>
  <c r="AB40" i="70"/>
  <c r="AD40" i="70"/>
  <c r="Y62" i="70"/>
  <c r="AH62" i="70" s="1"/>
  <c r="AH40" i="70"/>
  <c r="AC58" i="73" l="1"/>
  <c r="AF58" i="73"/>
  <c r="AE58" i="73"/>
  <c r="AB58" i="73"/>
  <c r="O28" i="72"/>
  <c r="AD58" i="73"/>
  <c r="AG58" i="73"/>
  <c r="H28" i="72"/>
  <c r="G28" i="72"/>
  <c r="I93" i="84" s="1"/>
  <c r="P41" i="92" s="1"/>
  <c r="P40" i="92" s="1"/>
  <c r="F32" i="72"/>
  <c r="AF66" i="70"/>
  <c r="AB66" i="70"/>
  <c r="AE66" i="70"/>
  <c r="AD66" i="70"/>
  <c r="AG66" i="70"/>
  <c r="AC66" i="70"/>
  <c r="Y54" i="73"/>
  <c r="AH54" i="73" s="1"/>
  <c r="AC54" i="70"/>
  <c r="F26" i="72"/>
  <c r="G26" i="72" s="1"/>
  <c r="I105" i="84" s="1"/>
  <c r="P47" i="92" s="1"/>
  <c r="P46" i="92" s="1"/>
  <c r="AD54" i="70"/>
  <c r="AG54" i="70"/>
  <c r="AF54" i="70"/>
  <c r="AB54" i="70"/>
  <c r="AE54" i="70"/>
  <c r="Y66" i="73"/>
  <c r="AH66" i="70"/>
  <c r="AH54" i="70"/>
  <c r="Y34" i="70"/>
  <c r="AH34" i="70" s="1"/>
  <c r="Y21" i="70"/>
  <c r="AH21" i="70" s="1"/>
  <c r="Y50" i="70"/>
  <c r="Y27" i="70"/>
  <c r="AH27" i="70" s="1"/>
  <c r="X30" i="70"/>
  <c r="X69" i="70" s="1"/>
  <c r="Y9" i="70"/>
  <c r="AH9" i="70" s="1"/>
  <c r="Y18" i="70"/>
  <c r="AH18" i="70" s="1"/>
  <c r="Y12" i="70"/>
  <c r="AH12" i="70" s="1"/>
  <c r="Y24" i="70"/>
  <c r="AH24" i="70" s="1"/>
  <c r="Y15" i="70"/>
  <c r="AH15" i="70" s="1"/>
  <c r="Y62" i="73"/>
  <c r="Y43" i="73"/>
  <c r="AE37" i="70"/>
  <c r="AF37" i="70"/>
  <c r="AG37" i="70"/>
  <c r="AB37" i="70"/>
  <c r="AC37" i="70"/>
  <c r="AD37" i="70"/>
  <c r="F19" i="72"/>
  <c r="AG43" i="70"/>
  <c r="AE43" i="70"/>
  <c r="AC43" i="70"/>
  <c r="F21" i="72"/>
  <c r="AF43" i="70"/>
  <c r="AD43" i="70"/>
  <c r="AB43" i="70"/>
  <c r="Y37" i="73"/>
  <c r="X46" i="73"/>
  <c r="Y40" i="73"/>
  <c r="AH40" i="73" s="1"/>
  <c r="AB62" i="70"/>
  <c r="AC62" i="70"/>
  <c r="AE62" i="70"/>
  <c r="F30" i="72"/>
  <c r="AD62" i="70"/>
  <c r="AF62" i="70"/>
  <c r="AG62" i="70"/>
  <c r="H20" i="72"/>
  <c r="G20" i="72"/>
  <c r="I70" i="84" s="1"/>
  <c r="P38" i="92" s="1"/>
  <c r="P37" i="92" s="1"/>
  <c r="Y46" i="70"/>
  <c r="AH37" i="70"/>
  <c r="AH43" i="70"/>
  <c r="H105" i="84" l="1"/>
  <c r="H104" i="84" s="1"/>
  <c r="M105" i="84"/>
  <c r="P105" i="84"/>
  <c r="I104" i="84"/>
  <c r="H93" i="84"/>
  <c r="M93" i="84"/>
  <c r="P93" i="84"/>
  <c r="I92" i="84"/>
  <c r="H70" i="84"/>
  <c r="H69" i="84" s="1"/>
  <c r="M70" i="84"/>
  <c r="P70" i="84"/>
  <c r="I69" i="84"/>
  <c r="AH50" i="70"/>
  <c r="F24" i="72"/>
  <c r="B43" i="75"/>
  <c r="B106" i="75" s="1"/>
  <c r="I28" i="72"/>
  <c r="P28" i="72"/>
  <c r="K93" i="84" s="1"/>
  <c r="Q41" i="92" s="1"/>
  <c r="Q40" i="92" s="1"/>
  <c r="Q28" i="72"/>
  <c r="AG66" i="73"/>
  <c r="AF66" i="73"/>
  <c r="AB66" i="73"/>
  <c r="O32" i="72"/>
  <c r="AD66" i="73"/>
  <c r="AE66" i="73"/>
  <c r="AC66" i="73"/>
  <c r="H26" i="72"/>
  <c r="G32" i="72"/>
  <c r="I116" i="84" s="1"/>
  <c r="H32" i="72"/>
  <c r="AC54" i="73"/>
  <c r="AF54" i="73"/>
  <c r="AG54" i="73"/>
  <c r="AD54" i="73"/>
  <c r="O26" i="72"/>
  <c r="P26" i="72" s="1"/>
  <c r="AE54" i="73"/>
  <c r="AB54" i="73"/>
  <c r="AH66" i="73"/>
  <c r="AF15" i="70"/>
  <c r="AE15" i="70"/>
  <c r="AD15" i="70"/>
  <c r="AG15" i="70"/>
  <c r="AC15" i="70"/>
  <c r="AB15" i="70"/>
  <c r="F10" i="72"/>
  <c r="AD24" i="70"/>
  <c r="AG24" i="70"/>
  <c r="AC24" i="70"/>
  <c r="AF24" i="70"/>
  <c r="AB24" i="70"/>
  <c r="AE24" i="70"/>
  <c r="F13" i="72"/>
  <c r="AG12" i="70"/>
  <c r="AF12" i="70"/>
  <c r="AB12" i="70"/>
  <c r="AE12" i="70"/>
  <c r="F9" i="72"/>
  <c r="AD12" i="70"/>
  <c r="AC12" i="70"/>
  <c r="AD18" i="70"/>
  <c r="AC18" i="70"/>
  <c r="F11" i="72"/>
  <c r="AF18" i="70"/>
  <c r="AB18" i="70"/>
  <c r="AE18" i="70"/>
  <c r="AG18" i="70"/>
  <c r="Y27" i="73"/>
  <c r="AH27" i="73" s="1"/>
  <c r="Y12" i="73"/>
  <c r="AH12" i="73" s="1"/>
  <c r="Y18" i="73"/>
  <c r="AH18" i="73" s="1"/>
  <c r="Y21" i="73"/>
  <c r="AH21" i="73" s="1"/>
  <c r="Y30" i="70"/>
  <c r="AH30" i="70" s="1"/>
  <c r="AF27" i="70"/>
  <c r="AB27" i="70"/>
  <c r="AE27" i="70"/>
  <c r="F14" i="72"/>
  <c r="AD27" i="70"/>
  <c r="AG27" i="70"/>
  <c r="AC27" i="70"/>
  <c r="AF50" i="70"/>
  <c r="AE50" i="70"/>
  <c r="AD50" i="70"/>
  <c r="AG50" i="70"/>
  <c r="AC50" i="70"/>
  <c r="AB50" i="70"/>
  <c r="AD21" i="70"/>
  <c r="AG21" i="70"/>
  <c r="AC21" i="70"/>
  <c r="AF21" i="70"/>
  <c r="AB21" i="70"/>
  <c r="AE21" i="70"/>
  <c r="F12" i="72"/>
  <c r="AG34" i="70"/>
  <c r="AC34" i="70"/>
  <c r="AD34" i="70"/>
  <c r="AE34" i="70"/>
  <c r="AF34" i="70"/>
  <c r="AB34" i="70"/>
  <c r="F18" i="72"/>
  <c r="F22" i="72" s="1"/>
  <c r="Y34" i="73"/>
  <c r="AH34" i="73" s="1"/>
  <c r="X30" i="73"/>
  <c r="X69" i="73" s="1"/>
  <c r="Y9" i="73"/>
  <c r="AH9" i="73" s="1"/>
  <c r="Y50" i="73"/>
  <c r="AH50" i="73" s="1"/>
  <c r="Y15" i="73"/>
  <c r="AH15" i="73" s="1"/>
  <c r="Y24" i="73"/>
  <c r="AH24" i="73" s="1"/>
  <c r="AD9" i="70"/>
  <c r="AG9" i="70"/>
  <c r="AC9" i="70"/>
  <c r="AF9" i="70"/>
  <c r="AB9" i="70"/>
  <c r="AE9" i="70"/>
  <c r="F8" i="72"/>
  <c r="Y69" i="70"/>
  <c r="AH69" i="70" s="1"/>
  <c r="X70" i="70"/>
  <c r="AC46" i="70"/>
  <c r="AG46" i="70"/>
  <c r="AE46" i="70"/>
  <c r="AD46" i="70"/>
  <c r="AB46" i="70"/>
  <c r="AF46" i="70"/>
  <c r="G30" i="72"/>
  <c r="I128" i="84" s="1"/>
  <c r="P50" i="92" s="1"/>
  <c r="P49" i="92" s="1"/>
  <c r="F37" i="72"/>
  <c r="H30" i="72"/>
  <c r="AG37" i="73"/>
  <c r="AC37" i="73"/>
  <c r="AD37" i="73"/>
  <c r="O19" i="72"/>
  <c r="AF37" i="73"/>
  <c r="AB37" i="73"/>
  <c r="AE37" i="73"/>
  <c r="H21" i="72"/>
  <c r="G21" i="72"/>
  <c r="I65" i="84" s="1"/>
  <c r="P32" i="92" s="1"/>
  <c r="P31" i="92" s="1"/>
  <c r="H19" i="72"/>
  <c r="G19" i="72"/>
  <c r="I60" i="84" s="1"/>
  <c r="P35" i="92" s="1"/>
  <c r="P34" i="92" s="1"/>
  <c r="AC43" i="73"/>
  <c r="AG43" i="73"/>
  <c r="AF43" i="73"/>
  <c r="AE43" i="73"/>
  <c r="O21" i="72"/>
  <c r="AB43" i="73"/>
  <c r="AD43" i="73"/>
  <c r="AG62" i="73"/>
  <c r="AC62" i="73"/>
  <c r="AD62" i="73"/>
  <c r="O30" i="72"/>
  <c r="AF62" i="73"/>
  <c r="AE62" i="73"/>
  <c r="AB62" i="73"/>
  <c r="Q43" i="75"/>
  <c r="Q106" i="75" s="1"/>
  <c r="I20" i="72"/>
  <c r="AC40" i="73"/>
  <c r="AD40" i="73"/>
  <c r="AF40" i="73"/>
  <c r="AE40" i="73"/>
  <c r="O20" i="72"/>
  <c r="AG40" i="73"/>
  <c r="AB40" i="73"/>
  <c r="Y46" i="73"/>
  <c r="AH46" i="73" s="1"/>
  <c r="AH46" i="70"/>
  <c r="AH37" i="73"/>
  <c r="AH43" i="73"/>
  <c r="AH62" i="73"/>
  <c r="P104" i="84" l="1"/>
  <c r="M104" i="84"/>
  <c r="I115" i="84"/>
  <c r="P53" i="92"/>
  <c r="P52" i="92" s="1"/>
  <c r="I59" i="84"/>
  <c r="M60" i="84"/>
  <c r="H60" i="84"/>
  <c r="H59" i="84" s="1"/>
  <c r="P60" i="84"/>
  <c r="H65" i="84"/>
  <c r="H64" i="84" s="1"/>
  <c r="P65" i="84"/>
  <c r="I64" i="84"/>
  <c r="M65" i="84"/>
  <c r="T26" i="72"/>
  <c r="K105" i="84"/>
  <c r="Q47" i="92" s="1"/>
  <c r="Q46" i="92" s="1"/>
  <c r="P116" i="84"/>
  <c r="M116" i="84"/>
  <c r="H116" i="84"/>
  <c r="J93" i="84"/>
  <c r="J92" i="84" s="1"/>
  <c r="J101" i="84" s="1"/>
  <c r="N93" i="84"/>
  <c r="K92" i="84"/>
  <c r="Q93" i="84"/>
  <c r="H128" i="84"/>
  <c r="H127" i="84" s="1"/>
  <c r="I127" i="84"/>
  <c r="P128" i="84"/>
  <c r="M128" i="84"/>
  <c r="M69" i="84"/>
  <c r="P69" i="84"/>
  <c r="I101" i="84"/>
  <c r="M92" i="84"/>
  <c r="I112" i="84"/>
  <c r="R28" i="72"/>
  <c r="B44" i="75"/>
  <c r="T28" i="72"/>
  <c r="U28" i="72" s="1"/>
  <c r="H37" i="72"/>
  <c r="I37" i="72" s="1"/>
  <c r="F36" i="72"/>
  <c r="I26" i="72"/>
  <c r="C43" i="75"/>
  <c r="C106" i="75" s="1"/>
  <c r="Q26" i="72"/>
  <c r="I32" i="72"/>
  <c r="E43" i="75"/>
  <c r="E106" i="75" s="1"/>
  <c r="Q32" i="72"/>
  <c r="P32" i="72"/>
  <c r="K116" i="84" s="1"/>
  <c r="Y45" i="70"/>
  <c r="Y30" i="73"/>
  <c r="AH30" i="73" s="1"/>
  <c r="AC34" i="73"/>
  <c r="AF34" i="73"/>
  <c r="AD34" i="73"/>
  <c r="O18" i="72"/>
  <c r="O22" i="72" s="1"/>
  <c r="AE34" i="73"/>
  <c r="AB34" i="73"/>
  <c r="AG34" i="73"/>
  <c r="G12" i="72"/>
  <c r="I28" i="84" s="1"/>
  <c r="P17" i="92" s="1"/>
  <c r="P16" i="92" s="1"/>
  <c r="H12" i="72"/>
  <c r="G24" i="72"/>
  <c r="I82" i="84" s="1"/>
  <c r="P44" i="92" s="1"/>
  <c r="P43" i="92" s="1"/>
  <c r="H24" i="72"/>
  <c r="AE30" i="70"/>
  <c r="AF30" i="70"/>
  <c r="AB30" i="70"/>
  <c r="AG30" i="70"/>
  <c r="AC30" i="70"/>
  <c r="AD30" i="70"/>
  <c r="AC21" i="73"/>
  <c r="O12" i="72"/>
  <c r="AD21" i="73"/>
  <c r="AB21" i="73"/>
  <c r="AF21" i="73"/>
  <c r="AG21" i="73"/>
  <c r="AE21" i="73"/>
  <c r="AC18" i="73"/>
  <c r="AD18" i="73"/>
  <c r="AE18" i="73"/>
  <c r="AB18" i="73"/>
  <c r="O11" i="72"/>
  <c r="AF18" i="73"/>
  <c r="AG18" i="73"/>
  <c r="AC12" i="73"/>
  <c r="O9" i="72"/>
  <c r="AD12" i="73"/>
  <c r="AE12" i="73"/>
  <c r="AB12" i="73"/>
  <c r="AF12" i="73"/>
  <c r="AG12" i="73"/>
  <c r="AC27" i="73"/>
  <c r="O14" i="72"/>
  <c r="AE27" i="73"/>
  <c r="AG27" i="73"/>
  <c r="AD27" i="73"/>
  <c r="AF27" i="73"/>
  <c r="AB27" i="73"/>
  <c r="G9" i="72"/>
  <c r="I13" i="84" s="1"/>
  <c r="H9" i="72"/>
  <c r="H10" i="72"/>
  <c r="G10" i="72"/>
  <c r="I18" i="84" s="1"/>
  <c r="P11" i="92" s="1"/>
  <c r="P10" i="92" s="1"/>
  <c r="H8" i="72"/>
  <c r="F35" i="72"/>
  <c r="F16" i="72"/>
  <c r="F33" i="72" s="1"/>
  <c r="G8" i="72"/>
  <c r="I8" i="84" s="1"/>
  <c r="AC24" i="73"/>
  <c r="O13" i="72"/>
  <c r="AD24" i="73"/>
  <c r="AE24" i="73"/>
  <c r="AG24" i="73"/>
  <c r="AF24" i="73"/>
  <c r="AB24" i="73"/>
  <c r="AC15" i="73"/>
  <c r="O10" i="72"/>
  <c r="AF15" i="73"/>
  <c r="AG15" i="73"/>
  <c r="AB15" i="73"/>
  <c r="AD15" i="73"/>
  <c r="AE15" i="73"/>
  <c r="AC50" i="73"/>
  <c r="AD50" i="73"/>
  <c r="AB50" i="73"/>
  <c r="AG50" i="73"/>
  <c r="O24" i="72"/>
  <c r="AF50" i="73"/>
  <c r="AE50" i="73"/>
  <c r="AE9" i="73"/>
  <c r="AB9" i="73"/>
  <c r="AD9" i="73"/>
  <c r="O8" i="72"/>
  <c r="P8" i="72" s="1"/>
  <c r="AF9" i="73"/>
  <c r="AG9" i="73"/>
  <c r="AC9" i="73"/>
  <c r="G18" i="72"/>
  <c r="I55" i="84" s="1"/>
  <c r="H18" i="72"/>
  <c r="H22" i="72" s="1"/>
  <c r="H14" i="72"/>
  <c r="G14" i="72"/>
  <c r="I43" i="84" s="1"/>
  <c r="P26" i="92" s="1"/>
  <c r="H11" i="72"/>
  <c r="G11" i="72"/>
  <c r="I23" i="84" s="1"/>
  <c r="P14" i="92" s="1"/>
  <c r="P13" i="92" s="1"/>
  <c r="H13" i="72"/>
  <c r="G13" i="72"/>
  <c r="I33" i="84" s="1"/>
  <c r="P20" i="92" s="1"/>
  <c r="P19" i="92" s="1"/>
  <c r="Y69" i="73"/>
  <c r="AH69" i="73" s="1"/>
  <c r="X70" i="73"/>
  <c r="Q20" i="72"/>
  <c r="P20" i="72"/>
  <c r="K70" i="84" s="1"/>
  <c r="Q38" i="92" s="1"/>
  <c r="Q21" i="72"/>
  <c r="P21" i="72"/>
  <c r="K65" i="84" s="1"/>
  <c r="Q32" i="92" s="1"/>
  <c r="Q31" i="92" s="1"/>
  <c r="AD46" i="73"/>
  <c r="AE46" i="73"/>
  <c r="AG46" i="73"/>
  <c r="AC46" i="73"/>
  <c r="AB46" i="73"/>
  <c r="AF46" i="73"/>
  <c r="Q30" i="72"/>
  <c r="O37" i="72"/>
  <c r="P30" i="72"/>
  <c r="K128" i="84" s="1"/>
  <c r="Q50" i="92" s="1"/>
  <c r="Q49" i="92" s="1"/>
  <c r="I19" i="72"/>
  <c r="G22" i="72"/>
  <c r="I77" i="84" s="1"/>
  <c r="O43" i="75"/>
  <c r="O106" i="75" s="1"/>
  <c r="I21" i="72"/>
  <c r="P43" i="75"/>
  <c r="P106" i="75" s="1"/>
  <c r="Q19" i="72"/>
  <c r="P19" i="72"/>
  <c r="K60" i="84" s="1"/>
  <c r="Q35" i="92" s="1"/>
  <c r="Q34" i="92" s="1"/>
  <c r="I30" i="72"/>
  <c r="G37" i="72"/>
  <c r="F43" i="75"/>
  <c r="X71" i="70"/>
  <c r="Y70" i="70"/>
  <c r="Y71" i="70" s="1"/>
  <c r="D24" i="71"/>
  <c r="D25" i="71" s="1"/>
  <c r="D26" i="71" s="1"/>
  <c r="AE69" i="70"/>
  <c r="Y17" i="70"/>
  <c r="Y33" i="70"/>
  <c r="Y57" i="70"/>
  <c r="Y26" i="70"/>
  <c r="Y14" i="70"/>
  <c r="Y23" i="70"/>
  <c r="AD69" i="70"/>
  <c r="Y65" i="70"/>
  <c r="AB69" i="70"/>
  <c r="Y20" i="70"/>
  <c r="AC69" i="70"/>
  <c r="Y11" i="70"/>
  <c r="AF69" i="70"/>
  <c r="Y53" i="70"/>
  <c r="AG69" i="70"/>
  <c r="Y49" i="70"/>
  <c r="Y8" i="70"/>
  <c r="Y29" i="70"/>
  <c r="Y39" i="70"/>
  <c r="Y61" i="70"/>
  <c r="Y36" i="70"/>
  <c r="Y42" i="70"/>
  <c r="P8" i="92" l="1"/>
  <c r="P7" i="92" s="1"/>
  <c r="I12" i="84"/>
  <c r="P5" i="92"/>
  <c r="P4" i="92" s="1"/>
  <c r="H8" i="84"/>
  <c r="Q37" i="92"/>
  <c r="K115" i="84"/>
  <c r="Q53" i="92"/>
  <c r="Q52" i="92" s="1"/>
  <c r="H55" i="84"/>
  <c r="H54" i="84" s="1"/>
  <c r="P29" i="92"/>
  <c r="P25" i="92"/>
  <c r="P65" i="92"/>
  <c r="P64" i="92" s="1"/>
  <c r="H77" i="84"/>
  <c r="M77" i="84"/>
  <c r="P77" i="84"/>
  <c r="J128" i="84"/>
  <c r="J127" i="84" s="1"/>
  <c r="K127" i="84"/>
  <c r="N128" i="84"/>
  <c r="Q128" i="84"/>
  <c r="M55" i="84"/>
  <c r="P55" i="84"/>
  <c r="I54" i="84"/>
  <c r="M13" i="84"/>
  <c r="H13" i="84"/>
  <c r="H12" i="84" s="1"/>
  <c r="P13" i="84"/>
  <c r="H82" i="84"/>
  <c r="H81" i="84" s="1"/>
  <c r="P82" i="84"/>
  <c r="I81" i="84"/>
  <c r="M82" i="84"/>
  <c r="I27" i="84"/>
  <c r="P28" i="84"/>
  <c r="M28" i="84"/>
  <c r="H28" i="84"/>
  <c r="H27" i="84" s="1"/>
  <c r="J116" i="84"/>
  <c r="N116" i="84"/>
  <c r="Q116" i="84"/>
  <c r="H112" i="84"/>
  <c r="M112" i="84"/>
  <c r="P112" i="84"/>
  <c r="M101" i="84"/>
  <c r="I135" i="84"/>
  <c r="M127" i="84"/>
  <c r="P127" i="84"/>
  <c r="M115" i="84"/>
  <c r="I124" i="84"/>
  <c r="P115" i="84"/>
  <c r="M117" i="84"/>
  <c r="P117" i="84"/>
  <c r="I147" i="84"/>
  <c r="P147" i="84" s="1"/>
  <c r="H117" i="84"/>
  <c r="H147" i="84" s="1"/>
  <c r="P64" i="84"/>
  <c r="M64" i="84"/>
  <c r="M59" i="84"/>
  <c r="P59" i="84"/>
  <c r="J60" i="84"/>
  <c r="J59" i="84" s="1"/>
  <c r="Q60" i="84"/>
  <c r="K59" i="84"/>
  <c r="N60" i="84"/>
  <c r="J65" i="84"/>
  <c r="J64" i="84" s="1"/>
  <c r="K64" i="84"/>
  <c r="N65" i="84"/>
  <c r="Q65" i="84"/>
  <c r="J70" i="84"/>
  <c r="J69" i="84" s="1"/>
  <c r="N70" i="84"/>
  <c r="Q70" i="84"/>
  <c r="K69" i="84"/>
  <c r="H33" i="84"/>
  <c r="H32" i="84" s="1"/>
  <c r="I32" i="84"/>
  <c r="M33" i="84"/>
  <c r="P33" i="84"/>
  <c r="H23" i="84"/>
  <c r="H22" i="84" s="1"/>
  <c r="P23" i="84"/>
  <c r="I22" i="84"/>
  <c r="M23" i="84"/>
  <c r="I42" i="84"/>
  <c r="M43" i="84"/>
  <c r="P43" i="84"/>
  <c r="H43" i="84"/>
  <c r="H42" i="84" s="1"/>
  <c r="I146" i="84"/>
  <c r="I7" i="84"/>
  <c r="M8" i="84"/>
  <c r="P8" i="84"/>
  <c r="I17" i="84"/>
  <c r="M18" i="84"/>
  <c r="P18" i="84"/>
  <c r="H18" i="84"/>
  <c r="H17" i="84" s="1"/>
  <c r="N92" i="84"/>
  <c r="K101" i="84"/>
  <c r="J105" i="84"/>
  <c r="J104" i="84" s="1"/>
  <c r="K104" i="84"/>
  <c r="Q105" i="84"/>
  <c r="N105" i="84"/>
  <c r="B46" i="75"/>
  <c r="B107" i="75"/>
  <c r="B47" i="75"/>
  <c r="B45" i="75"/>
  <c r="Q37" i="72"/>
  <c r="C44" i="75"/>
  <c r="U26" i="72"/>
  <c r="R26" i="72"/>
  <c r="R32" i="72"/>
  <c r="T32" i="72"/>
  <c r="U32" i="72" s="1"/>
  <c r="E44" i="75"/>
  <c r="H36" i="72"/>
  <c r="I36" i="72" s="1"/>
  <c r="O36" i="72"/>
  <c r="L43" i="75"/>
  <c r="L106" i="75" s="1"/>
  <c r="I13" i="72"/>
  <c r="J43" i="75"/>
  <c r="J106" i="75" s="1"/>
  <c r="I11" i="72"/>
  <c r="I14" i="72"/>
  <c r="M43" i="75"/>
  <c r="M106" i="75" s="1"/>
  <c r="Q13" i="72"/>
  <c r="P13" i="72"/>
  <c r="K33" i="84" s="1"/>
  <c r="Q20" i="92" s="1"/>
  <c r="Q19" i="92" s="1"/>
  <c r="G35" i="72"/>
  <c r="I8" i="72"/>
  <c r="G16" i="72"/>
  <c r="G43" i="75"/>
  <c r="G106" i="75" s="1"/>
  <c r="I10" i="72"/>
  <c r="I43" i="75"/>
  <c r="I106" i="75" s="1"/>
  <c r="Q9" i="72"/>
  <c r="P9" i="72"/>
  <c r="K13" i="84" s="1"/>
  <c r="Q8" i="92" s="1"/>
  <c r="Q7" i="92" s="1"/>
  <c r="P11" i="72"/>
  <c r="K23" i="84" s="1"/>
  <c r="Q14" i="92" s="1"/>
  <c r="Q13" i="92" s="1"/>
  <c r="Q11" i="72"/>
  <c r="N43" i="75"/>
  <c r="N106" i="75" s="1"/>
  <c r="I18" i="72"/>
  <c r="O35" i="72"/>
  <c r="Q8" i="72"/>
  <c r="K8" i="84"/>
  <c r="Q5" i="92" s="1"/>
  <c r="O16" i="72"/>
  <c r="O33" i="72" s="1"/>
  <c r="P24" i="72"/>
  <c r="K82" i="84" s="1"/>
  <c r="Q44" i="92" s="1"/>
  <c r="Q43" i="92" s="1"/>
  <c r="Q24" i="72"/>
  <c r="Q10" i="72"/>
  <c r="P10" i="72"/>
  <c r="K18" i="84" s="1"/>
  <c r="Q11" i="92" s="1"/>
  <c r="Q10" i="92" s="1"/>
  <c r="H16" i="72"/>
  <c r="H33" i="72" s="1"/>
  <c r="H35" i="72"/>
  <c r="I35" i="72" s="1"/>
  <c r="H43" i="75"/>
  <c r="H106" i="75" s="1"/>
  <c r="I9" i="72"/>
  <c r="P14" i="72"/>
  <c r="K43" i="84" s="1"/>
  <c r="Q26" i="92" s="1"/>
  <c r="Q14" i="72"/>
  <c r="D43" i="75"/>
  <c r="D106" i="75" s="1"/>
  <c r="I24" i="72"/>
  <c r="K43" i="75"/>
  <c r="K106" i="75" s="1"/>
  <c r="I12" i="72"/>
  <c r="Q18" i="72"/>
  <c r="Q22" i="72" s="1"/>
  <c r="P18" i="72"/>
  <c r="K55" i="84" s="1"/>
  <c r="Q29" i="92" s="1"/>
  <c r="Q28" i="92" s="1"/>
  <c r="G36" i="72"/>
  <c r="P12" i="72"/>
  <c r="K28" i="84" s="1"/>
  <c r="Q17" i="92" s="1"/>
  <c r="Q16" i="92" s="1"/>
  <c r="Q12" i="72"/>
  <c r="AE30" i="73"/>
  <c r="AB30" i="73"/>
  <c r="AD30" i="73"/>
  <c r="AF30" i="73"/>
  <c r="AG30" i="73"/>
  <c r="AC30" i="73"/>
  <c r="F106" i="75"/>
  <c r="T106" i="75" s="1"/>
  <c r="T19" i="72"/>
  <c r="R19" i="72"/>
  <c r="O44" i="75"/>
  <c r="I22" i="72"/>
  <c r="T30" i="72"/>
  <c r="U30" i="72" s="1"/>
  <c r="F44" i="75"/>
  <c r="P37" i="72"/>
  <c r="R30" i="72"/>
  <c r="R21" i="72"/>
  <c r="T21" i="72"/>
  <c r="U21" i="72" s="1"/>
  <c r="P44" i="75"/>
  <c r="Q44" i="75"/>
  <c r="T20" i="72"/>
  <c r="U20" i="72" s="1"/>
  <c r="R20" i="72"/>
  <c r="X71" i="73"/>
  <c r="Y70" i="73"/>
  <c r="Y71" i="73" s="1"/>
  <c r="I24" i="71"/>
  <c r="I25" i="71" s="1"/>
  <c r="I26" i="71" s="1"/>
  <c r="Y45" i="73"/>
  <c r="AD69" i="73"/>
  <c r="AF69" i="73"/>
  <c r="Y65" i="73"/>
  <c r="Y17" i="73"/>
  <c r="Y53" i="73"/>
  <c r="AG69" i="73"/>
  <c r="Y29" i="73"/>
  <c r="AC69" i="73"/>
  <c r="Y20" i="73"/>
  <c r="Y11" i="73"/>
  <c r="AB69" i="73"/>
  <c r="Y14" i="73"/>
  <c r="Y26" i="73"/>
  <c r="Y8" i="73"/>
  <c r="Y57" i="73"/>
  <c r="AE69" i="73"/>
  <c r="Y23" i="73"/>
  <c r="Y33" i="73"/>
  <c r="Y49" i="73"/>
  <c r="Y39" i="73"/>
  <c r="Y36" i="73"/>
  <c r="Y61" i="73"/>
  <c r="Y42" i="73"/>
  <c r="P61" i="92" l="1"/>
  <c r="P69" i="92" s="1"/>
  <c r="P68" i="92" s="1"/>
  <c r="P22" i="72"/>
  <c r="K77" i="84" s="1"/>
  <c r="N77" i="84" s="1"/>
  <c r="P57" i="92"/>
  <c r="P56" i="92" s="1"/>
  <c r="P7" i="84"/>
  <c r="I51" i="84"/>
  <c r="U106" i="75"/>
  <c r="H146" i="84"/>
  <c r="Q25" i="92"/>
  <c r="Q65" i="92"/>
  <c r="Q64" i="92" s="1"/>
  <c r="Q4" i="92"/>
  <c r="Q57" i="92"/>
  <c r="Q56" i="92" s="1"/>
  <c r="Q61" i="92"/>
  <c r="Q73" i="92"/>
  <c r="Q72" i="92" s="1"/>
  <c r="P73" i="92"/>
  <c r="P72" i="92" s="1"/>
  <c r="P28" i="92"/>
  <c r="H115" i="84"/>
  <c r="J28" i="84"/>
  <c r="J27" i="84" s="1"/>
  <c r="K27" i="84"/>
  <c r="N28" i="84"/>
  <c r="Q28" i="84"/>
  <c r="J55" i="84"/>
  <c r="J54" i="84" s="1"/>
  <c r="K54" i="84"/>
  <c r="N55" i="84"/>
  <c r="Q55" i="84"/>
  <c r="J18" i="84"/>
  <c r="J17" i="84" s="1"/>
  <c r="K17" i="84"/>
  <c r="Q18" i="84"/>
  <c r="N18" i="84"/>
  <c r="J13" i="84"/>
  <c r="J12" i="84" s="1"/>
  <c r="Q13" i="84"/>
  <c r="K12" i="84"/>
  <c r="N13" i="84"/>
  <c r="J33" i="84"/>
  <c r="J32" i="84" s="1"/>
  <c r="Q33" i="84"/>
  <c r="K32" i="84"/>
  <c r="N33" i="84"/>
  <c r="M7" i="84"/>
  <c r="E6" i="88"/>
  <c r="I168" i="84"/>
  <c r="M146" i="84"/>
  <c r="P146" i="84"/>
  <c r="I154" i="84"/>
  <c r="I145" i="84"/>
  <c r="M145" i="84" s="1"/>
  <c r="M42" i="84"/>
  <c r="P42" i="84"/>
  <c r="M22" i="84"/>
  <c r="P22" i="84"/>
  <c r="N59" i="84"/>
  <c r="Q59" i="84"/>
  <c r="M124" i="84"/>
  <c r="H124" i="84"/>
  <c r="P124" i="84"/>
  <c r="M135" i="84"/>
  <c r="P135" i="84"/>
  <c r="H135" i="84"/>
  <c r="K124" i="84"/>
  <c r="N115" i="84"/>
  <c r="J115" i="84"/>
  <c r="Q115" i="84"/>
  <c r="K147" i="84"/>
  <c r="Q147" i="84" s="1"/>
  <c r="Q117" i="84"/>
  <c r="N117" i="84"/>
  <c r="J117" i="84"/>
  <c r="J147" i="84" s="1"/>
  <c r="M27" i="84"/>
  <c r="P27" i="84"/>
  <c r="I89" i="84"/>
  <c r="M81" i="84"/>
  <c r="P81" i="84"/>
  <c r="M54" i="84"/>
  <c r="I78" i="84"/>
  <c r="P54" i="84"/>
  <c r="K135" i="84"/>
  <c r="N127" i="84"/>
  <c r="Q127" i="84"/>
  <c r="J43" i="84"/>
  <c r="J42" i="84" s="1"/>
  <c r="K42" i="84"/>
  <c r="N43" i="84"/>
  <c r="Q43" i="84"/>
  <c r="K81" i="84"/>
  <c r="N82" i="84"/>
  <c r="Q82" i="84"/>
  <c r="J8" i="84"/>
  <c r="K146" i="84"/>
  <c r="K7" i="84"/>
  <c r="N8" i="84"/>
  <c r="Q8" i="84"/>
  <c r="J23" i="84"/>
  <c r="J22" i="84" s="1"/>
  <c r="K22" i="84"/>
  <c r="N23" i="84"/>
  <c r="Q23" i="84"/>
  <c r="I16" i="72"/>
  <c r="I50" i="84"/>
  <c r="N104" i="84"/>
  <c r="K112" i="84"/>
  <c r="Q104" i="84"/>
  <c r="N101" i="84"/>
  <c r="M17" i="84"/>
  <c r="P17" i="84"/>
  <c r="H7" i="84"/>
  <c r="P32" i="84"/>
  <c r="M32" i="84"/>
  <c r="N69" i="84"/>
  <c r="Q69" i="84"/>
  <c r="N64" i="84"/>
  <c r="Q64" i="84"/>
  <c r="M12" i="84"/>
  <c r="P12" i="84"/>
  <c r="J82" i="84"/>
  <c r="J81" i="84" s="1"/>
  <c r="B110" i="75"/>
  <c r="B108" i="75"/>
  <c r="B109" i="75"/>
  <c r="C47" i="75"/>
  <c r="C107" i="75"/>
  <c r="C45" i="75"/>
  <c r="C46" i="75"/>
  <c r="E46" i="75"/>
  <c r="E45" i="75"/>
  <c r="E107" i="75"/>
  <c r="E47" i="75"/>
  <c r="P36" i="72"/>
  <c r="R36" i="72" s="1"/>
  <c r="Q36" i="72"/>
  <c r="T12" i="72"/>
  <c r="U12" i="72" s="1"/>
  <c r="K44" i="75"/>
  <c r="R12" i="72"/>
  <c r="R14" i="72"/>
  <c r="T14" i="72"/>
  <c r="U14" i="72" s="1"/>
  <c r="M44" i="75"/>
  <c r="R24" i="72"/>
  <c r="D44" i="75"/>
  <c r="T24" i="72"/>
  <c r="U24" i="72" s="1"/>
  <c r="G44" i="75"/>
  <c r="R8" i="72"/>
  <c r="P35" i="72"/>
  <c r="P16" i="72"/>
  <c r="T8" i="72"/>
  <c r="T11" i="72"/>
  <c r="U11" i="72" s="1"/>
  <c r="J44" i="75"/>
  <c r="R11" i="72"/>
  <c r="N44" i="75"/>
  <c r="R18" i="72"/>
  <c r="T18" i="72"/>
  <c r="U18" i="72" s="1"/>
  <c r="I44" i="75"/>
  <c r="R10" i="72"/>
  <c r="T10" i="72"/>
  <c r="U10" i="72" s="1"/>
  <c r="Q16" i="72"/>
  <c r="Q33" i="72" s="1"/>
  <c r="Q35" i="72"/>
  <c r="H44" i="75"/>
  <c r="R9" i="72"/>
  <c r="T9" i="72"/>
  <c r="U9" i="72" s="1"/>
  <c r="T13" i="72"/>
  <c r="U13" i="72" s="1"/>
  <c r="R13" i="72"/>
  <c r="L44" i="75"/>
  <c r="G33" i="72"/>
  <c r="I33" i="72" s="1"/>
  <c r="R43" i="75"/>
  <c r="R106" i="75" s="1"/>
  <c r="P45" i="75"/>
  <c r="P47" i="75"/>
  <c r="P107" i="75"/>
  <c r="P46" i="75"/>
  <c r="T37" i="72"/>
  <c r="U37" i="72" s="1"/>
  <c r="R37" i="72"/>
  <c r="O47" i="75"/>
  <c r="O107" i="75"/>
  <c r="O46" i="75"/>
  <c r="O45" i="75"/>
  <c r="U19" i="72"/>
  <c r="Q45" i="75"/>
  <c r="Q47" i="75"/>
  <c r="Q46" i="75"/>
  <c r="Q107" i="75"/>
  <c r="F46" i="75"/>
  <c r="F107" i="75"/>
  <c r="F109" i="75" s="1"/>
  <c r="F45" i="75"/>
  <c r="J77" i="84" l="1"/>
  <c r="P60" i="92"/>
  <c r="R22" i="72"/>
  <c r="Q77" i="84"/>
  <c r="H6" i="88"/>
  <c r="E19" i="88"/>
  <c r="E22" i="88" s="1"/>
  <c r="T107" i="75"/>
  <c r="W107" i="75" s="1"/>
  <c r="Q69" i="92"/>
  <c r="Q68" i="92" s="1"/>
  <c r="Q60" i="92"/>
  <c r="R16" i="72"/>
  <c r="K50" i="84"/>
  <c r="Q112" i="84"/>
  <c r="J112" i="84"/>
  <c r="N112" i="84"/>
  <c r="M50" i="84"/>
  <c r="P50" i="84"/>
  <c r="H50" i="84"/>
  <c r="H174" i="84" s="1"/>
  <c r="Q22" i="84"/>
  <c r="N22" i="84"/>
  <c r="N7" i="84"/>
  <c r="K51" i="84"/>
  <c r="Q7" i="84"/>
  <c r="J146" i="84"/>
  <c r="J7" i="84"/>
  <c r="N42" i="84"/>
  <c r="Q42" i="84"/>
  <c r="N135" i="84"/>
  <c r="J135" i="84"/>
  <c r="Q135" i="84"/>
  <c r="P78" i="84"/>
  <c r="H78" i="84"/>
  <c r="M78" i="84"/>
  <c r="M89" i="84"/>
  <c r="H89" i="84"/>
  <c r="P89" i="84"/>
  <c r="Q124" i="84"/>
  <c r="N124" i="84"/>
  <c r="J124" i="84"/>
  <c r="H51" i="84"/>
  <c r="M51" i="84"/>
  <c r="P51" i="84"/>
  <c r="N17" i="84"/>
  <c r="Q17" i="84"/>
  <c r="N54" i="84"/>
  <c r="Q54" i="84"/>
  <c r="K78" i="84"/>
  <c r="N27" i="84"/>
  <c r="Q27" i="84"/>
  <c r="F6" i="88"/>
  <c r="I6" i="88" s="1"/>
  <c r="K168" i="84"/>
  <c r="N146" i="84"/>
  <c r="Q146" i="84"/>
  <c r="K154" i="84"/>
  <c r="K145" i="84"/>
  <c r="N81" i="84"/>
  <c r="K89" i="84"/>
  <c r="Q81" i="84"/>
  <c r="I172" i="84"/>
  <c r="I167" i="84"/>
  <c r="N32" i="84"/>
  <c r="Q32" i="84"/>
  <c r="N12" i="84"/>
  <c r="Q12" i="84"/>
  <c r="T22" i="72"/>
  <c r="U22" i="72" s="1"/>
  <c r="T36" i="72"/>
  <c r="U36" i="72" s="1"/>
  <c r="C108" i="75"/>
  <c r="C110" i="75"/>
  <c r="C109" i="75"/>
  <c r="E110" i="75"/>
  <c r="E109" i="75"/>
  <c r="E108" i="75"/>
  <c r="P33" i="72"/>
  <c r="R33" i="72" s="1"/>
  <c r="H46" i="75"/>
  <c r="H107" i="75"/>
  <c r="H45" i="75"/>
  <c r="H47" i="75"/>
  <c r="N46" i="75"/>
  <c r="N45" i="75"/>
  <c r="N107" i="75"/>
  <c r="N47" i="75"/>
  <c r="J47" i="75"/>
  <c r="J46" i="75"/>
  <c r="J107" i="75"/>
  <c r="J45" i="75"/>
  <c r="U8" i="72"/>
  <c r="T16" i="72"/>
  <c r="U16" i="72" s="1"/>
  <c r="R35" i="72"/>
  <c r="T35" i="72"/>
  <c r="U35" i="72" s="1"/>
  <c r="G47" i="75"/>
  <c r="G45" i="75"/>
  <c r="G46" i="75"/>
  <c r="G107" i="75"/>
  <c r="D46" i="75"/>
  <c r="D107" i="75"/>
  <c r="D45" i="75"/>
  <c r="D47" i="75"/>
  <c r="M46" i="75"/>
  <c r="M47" i="75"/>
  <c r="M45" i="75"/>
  <c r="M107" i="75"/>
  <c r="K46" i="75"/>
  <c r="K45" i="75"/>
  <c r="K47" i="75"/>
  <c r="K107" i="75"/>
  <c r="L107" i="75"/>
  <c r="L46" i="75"/>
  <c r="L45" i="75"/>
  <c r="L47" i="75"/>
  <c r="I46" i="75"/>
  <c r="I47" i="75"/>
  <c r="I107" i="75"/>
  <c r="I45" i="75"/>
  <c r="R44" i="75"/>
  <c r="R45" i="75" s="1"/>
  <c r="Q110" i="75"/>
  <c r="Q108" i="75"/>
  <c r="Q109" i="75"/>
  <c r="O108" i="75"/>
  <c r="O109" i="75"/>
  <c r="O110" i="75"/>
  <c r="F108" i="75"/>
  <c r="F110" i="75"/>
  <c r="P108" i="75"/>
  <c r="P109" i="75"/>
  <c r="P110" i="75"/>
  <c r="U107" i="75" l="1"/>
  <c r="V107" i="75" s="1"/>
  <c r="H29" i="88"/>
  <c r="K6" i="88"/>
  <c r="I26" i="88"/>
  <c r="K26" i="88" s="1"/>
  <c r="J6" i="88"/>
  <c r="H26" i="88"/>
  <c r="J26" i="88" s="1"/>
  <c r="M172" i="84"/>
  <c r="I174" i="84"/>
  <c r="Q89" i="84"/>
  <c r="N89" i="84"/>
  <c r="J89" i="84"/>
  <c r="K172" i="84"/>
  <c r="N145" i="84"/>
  <c r="K167" i="84"/>
  <c r="J78" i="84"/>
  <c r="N78" i="84"/>
  <c r="Q78" i="84"/>
  <c r="F19" i="88"/>
  <c r="J168" i="84"/>
  <c r="J145" i="84"/>
  <c r="J167" i="84" s="1"/>
  <c r="Q51" i="84"/>
  <c r="J51" i="84"/>
  <c r="N51" i="84"/>
  <c r="J50" i="84"/>
  <c r="J174" i="84" s="1"/>
  <c r="Q50" i="84"/>
  <c r="N50" i="84"/>
  <c r="T33" i="72"/>
  <c r="U33" i="72" s="1"/>
  <c r="R47" i="75"/>
  <c r="R46" i="75"/>
  <c r="I110" i="75"/>
  <c r="I108" i="75"/>
  <c r="I109" i="75"/>
  <c r="L109" i="75"/>
  <c r="L110" i="75"/>
  <c r="L108" i="75"/>
  <c r="J109" i="75"/>
  <c r="J110" i="75"/>
  <c r="J108" i="75"/>
  <c r="N110" i="75"/>
  <c r="N108" i="75"/>
  <c r="N109" i="75"/>
  <c r="K109" i="75"/>
  <c r="K110" i="75"/>
  <c r="K108" i="75"/>
  <c r="M108" i="75"/>
  <c r="M110" i="75"/>
  <c r="M109" i="75"/>
  <c r="D109" i="75"/>
  <c r="D110" i="75"/>
  <c r="D108" i="75"/>
  <c r="G108" i="75"/>
  <c r="G109" i="75"/>
  <c r="G110" i="75"/>
  <c r="H109" i="75"/>
  <c r="H108" i="75"/>
  <c r="H110" i="75"/>
  <c r="R107" i="75"/>
  <c r="R108" i="75" s="1"/>
  <c r="I29" i="88" l="1"/>
  <c r="F22" i="88"/>
  <c r="N172" i="84"/>
  <c r="K174" i="84"/>
  <c r="E55" i="88"/>
  <c r="M174" i="84"/>
  <c r="R109" i="75"/>
  <c r="R110" i="75"/>
  <c r="F55" i="88" l="1"/>
  <c r="N174" i="84"/>
  <c r="F92" i="84"/>
  <c r="F101" i="84" s="1"/>
  <c r="F148" i="84"/>
  <c r="F145" i="84" s="1"/>
  <c r="F172" i="84" s="1"/>
  <c r="F174" i="84" s="1"/>
  <c r="G95" i="84"/>
  <c r="P95" i="84" s="1"/>
  <c r="C8" i="88" l="1"/>
  <c r="C19" i="88" s="1"/>
  <c r="C22" i="88" s="1"/>
  <c r="C55" i="88" s="1"/>
  <c r="G92" i="84"/>
  <c r="Q95" i="84"/>
  <c r="H95" i="84"/>
  <c r="G148" i="84"/>
  <c r="Q148" i="84" l="1"/>
  <c r="G145" i="84"/>
  <c r="D8" i="88"/>
  <c r="P148" i="84"/>
  <c r="I155" i="84"/>
  <c r="I158" i="84" s="1"/>
  <c r="K155" i="84"/>
  <c r="K158" i="84" s="1"/>
  <c r="H92" i="84"/>
  <c r="H101" i="84" s="1"/>
  <c r="H148" i="84"/>
  <c r="H145" i="84" s="1"/>
  <c r="Q92" i="84"/>
  <c r="G101" i="84"/>
  <c r="P92" i="84"/>
  <c r="D19" i="88" l="1"/>
  <c r="I19" i="88" s="1"/>
  <c r="I8" i="88"/>
  <c r="H8" i="88"/>
  <c r="Q101" i="84"/>
  <c r="P101" i="84"/>
  <c r="Q145" i="84"/>
  <c r="G172" i="84"/>
  <c r="P145" i="84"/>
  <c r="J8" i="88" l="1"/>
  <c r="H25" i="88"/>
  <c r="J25" i="88" s="1"/>
  <c r="K8" i="88"/>
  <c r="I25" i="88"/>
  <c r="K25" i="88" s="1"/>
  <c r="D22" i="88"/>
  <c r="H19" i="88"/>
  <c r="J19" i="88" s="1"/>
  <c r="Q172" i="84"/>
  <c r="P172" i="84"/>
  <c r="G174" i="84"/>
  <c r="H24" i="88" l="1"/>
  <c r="J24" i="88" s="1"/>
  <c r="K19" i="88"/>
  <c r="I24" i="88"/>
  <c r="K24" i="88" s="1"/>
  <c r="H22" i="88"/>
  <c r="J22" i="88" s="1"/>
  <c r="I22" i="88"/>
  <c r="Q174" i="84"/>
  <c r="P174" i="84"/>
  <c r="D55" i="88"/>
  <c r="K22" i="88" l="1"/>
</calcChain>
</file>

<file path=xl/comments1.xml><?xml version="1.0" encoding="utf-8"?>
<comments xmlns="http://schemas.openxmlformats.org/spreadsheetml/2006/main">
  <authors>
    <author>jasond</author>
  </authors>
  <commentList>
    <comment ref="I94" authorId="0">
      <text>
        <r>
          <rPr>
            <b/>
            <sz val="9"/>
            <color indexed="81"/>
            <rFont val="Tahoma"/>
            <family val="2"/>
          </rPr>
          <t>jasond:</t>
        </r>
        <r>
          <rPr>
            <sz val="9"/>
            <color indexed="81"/>
            <rFont val="Tahoma"/>
            <family val="2"/>
          </rPr>
          <t xml:space="preserve">
Remove $5M adjustment as part of recommendation</t>
        </r>
      </text>
    </comment>
    <comment ref="K94" authorId="0">
      <text>
        <r>
          <rPr>
            <b/>
            <sz val="9"/>
            <color indexed="81"/>
            <rFont val="Tahoma"/>
            <family val="2"/>
          </rPr>
          <t>jasond:</t>
        </r>
        <r>
          <rPr>
            <sz val="9"/>
            <color indexed="81"/>
            <rFont val="Tahoma"/>
            <family val="2"/>
          </rPr>
          <t xml:space="preserve">
Remove $10M adjustments as part of reocmmendation</t>
        </r>
      </text>
    </comment>
    <comment ref="I117" authorId="0">
      <text>
        <r>
          <rPr>
            <b/>
            <sz val="9"/>
            <color indexed="81"/>
            <rFont val="Tahoma"/>
            <family val="2"/>
          </rPr>
          <t>jasond:</t>
        </r>
        <r>
          <rPr>
            <sz val="9"/>
            <color indexed="81"/>
            <rFont val="Tahoma"/>
            <family val="2"/>
          </rPr>
          <t xml:space="preserve">
Remove $439K adjustment as part of recommendation</t>
        </r>
      </text>
    </comment>
    <comment ref="K117" authorId="0">
      <text>
        <r>
          <rPr>
            <b/>
            <sz val="9"/>
            <color indexed="81"/>
            <rFont val="Tahoma"/>
            <family val="2"/>
          </rPr>
          <t>jasond:</t>
        </r>
        <r>
          <rPr>
            <sz val="9"/>
            <color indexed="81"/>
            <rFont val="Tahoma"/>
            <family val="2"/>
          </rPr>
          <t xml:space="preserve">
Remove $1.1M adjustment as part of recommendation</t>
        </r>
      </text>
    </comment>
  </commentList>
</comments>
</file>

<file path=xl/comments2.xml><?xml version="1.0" encoding="utf-8"?>
<comments xmlns="http://schemas.openxmlformats.org/spreadsheetml/2006/main">
  <authors>
    <author>jasond</author>
  </authors>
  <commentList>
    <comment ref="C6" authorId="0">
      <text>
        <r>
          <rPr>
            <b/>
            <sz val="9"/>
            <color indexed="81"/>
            <rFont val="Tahoma"/>
            <family val="2"/>
          </rPr>
          <t>jasond:</t>
        </r>
        <r>
          <rPr>
            <sz val="9"/>
            <color indexed="81"/>
            <rFont val="Tahoma"/>
            <family val="2"/>
          </rPr>
          <t xml:space="preserve">
$4.5M added to account for schools funded through IUPUI Health that are now part of IUPUI GA</t>
        </r>
      </text>
    </comment>
  </commentList>
</comments>
</file>

<file path=xl/comments3.xml><?xml version="1.0" encoding="utf-8"?>
<comments xmlns="http://schemas.openxmlformats.org/spreadsheetml/2006/main">
  <authors>
    <author>jasond</author>
  </authors>
  <commentList>
    <comment ref="R190" authorId="0">
      <text>
        <r>
          <rPr>
            <b/>
            <sz val="9"/>
            <color indexed="81"/>
            <rFont val="Tahoma"/>
            <family val="2"/>
          </rPr>
          <t>jasond:</t>
        </r>
        <r>
          <rPr>
            <sz val="9"/>
            <color indexed="81"/>
            <rFont val="Tahoma"/>
            <family val="2"/>
          </rPr>
          <t xml:space="preserve">
Reduced by 1/2 since only 3 years of data is provided.</t>
        </r>
      </text>
    </comment>
  </commentList>
</comments>
</file>

<file path=xl/comments4.xml><?xml version="1.0" encoding="utf-8"?>
<comments xmlns="http://schemas.openxmlformats.org/spreadsheetml/2006/main">
  <authors>
    <author>jasond</author>
  </authors>
  <commentList>
    <comment ref="D19" authorId="0">
      <text>
        <r>
          <rPr>
            <b/>
            <sz val="9"/>
            <color indexed="81"/>
            <rFont val="Tahoma"/>
            <family val="2"/>
          </rPr>
          <t>jasond:</t>
        </r>
        <r>
          <rPr>
            <sz val="9"/>
            <color indexed="81"/>
            <rFont val="Tahoma"/>
            <family val="2"/>
          </rPr>
          <t xml:space="preserve">
Reflects Central Campus Phase II starting in 2014, not 2013</t>
        </r>
      </text>
    </comment>
  </commentList>
</comments>
</file>

<file path=xl/comments5.xml><?xml version="1.0" encoding="utf-8"?>
<comments xmlns="http://schemas.openxmlformats.org/spreadsheetml/2006/main">
  <authors>
    <author>jasond</author>
  </authors>
  <commentList>
    <comment ref="N41" authorId="0">
      <text>
        <r>
          <rPr>
            <b/>
            <sz val="9"/>
            <color indexed="81"/>
            <rFont val="Tahoma"/>
            <family val="2"/>
          </rPr>
          <t>jasond:</t>
        </r>
        <r>
          <rPr>
            <sz val="9"/>
            <color indexed="81"/>
            <rFont val="Tahoma"/>
            <family val="2"/>
          </rPr>
          <t xml:space="preserve">
Reduces for CRS and AES</t>
        </r>
      </text>
    </comment>
  </commentList>
</comments>
</file>

<file path=xl/comments6.xml><?xml version="1.0" encoding="utf-8"?>
<comments xmlns="http://schemas.openxmlformats.org/spreadsheetml/2006/main">
  <authors>
    <author>jasond</author>
  </authors>
  <commentList>
    <comment ref="N41" authorId="0">
      <text>
        <r>
          <rPr>
            <b/>
            <sz val="9"/>
            <color indexed="81"/>
            <rFont val="Tahoma"/>
            <family val="2"/>
          </rPr>
          <t>jasond:</t>
        </r>
        <r>
          <rPr>
            <sz val="9"/>
            <color indexed="81"/>
            <rFont val="Tahoma"/>
            <family val="2"/>
          </rPr>
          <t xml:space="preserve">
Reduces for CRS and AES</t>
        </r>
      </text>
    </comment>
  </commentList>
</comments>
</file>

<file path=xl/sharedStrings.xml><?xml version="1.0" encoding="utf-8"?>
<sst xmlns="http://schemas.openxmlformats.org/spreadsheetml/2006/main" count="4562" uniqueCount="972">
  <si>
    <t>INDIANA PUBLIC POSTSECONDARY EDUCATION</t>
  </si>
  <si>
    <t xml:space="preserve"> </t>
  </si>
  <si>
    <t>2005-06</t>
  </si>
  <si>
    <t>2006-07</t>
  </si>
  <si>
    <t>2007-08</t>
  </si>
  <si>
    <t>2008-09</t>
  </si>
  <si>
    <t>2009-10</t>
  </si>
  <si>
    <t>2010-11</t>
  </si>
  <si>
    <t>2011-12</t>
  </si>
  <si>
    <t>2012-13</t>
  </si>
  <si>
    <t>2013-14</t>
  </si>
  <si>
    <t>2014-15</t>
  </si>
  <si>
    <t>Notes:</t>
  </si>
  <si>
    <t>ACTUAL</t>
  </si>
  <si>
    <t>PROJ</t>
  </si>
  <si>
    <t>BUDGET</t>
  </si>
  <si>
    <t>PROP</t>
  </si>
  <si>
    <t xml:space="preserve">    b. Non-Resident</t>
  </si>
  <si>
    <t>STUDENT ENROLLMENT DATA</t>
  </si>
  <si>
    <t>1.  Undergraduate</t>
  </si>
  <si>
    <t xml:space="preserve">    a.  Indiana Resident</t>
  </si>
  <si>
    <t>2.  Graduate</t>
  </si>
  <si>
    <t>3. Professional</t>
  </si>
  <si>
    <t>TOTAL STUDENT HEADCOUNT</t>
  </si>
  <si>
    <t>B.  ANNUAL FULL-TIME EQUIVALENT (FTE) STUDENTS</t>
  </si>
  <si>
    <t>TOTAL STUDENT FTE</t>
  </si>
  <si>
    <t>OVERALL DEGREE COMPLETION PFF METRIC</t>
  </si>
  <si>
    <t>OVERALL DEGREE COMPLETION PFF METRIC FOR AY 2006-2011</t>
  </si>
  <si>
    <t>1 Year Certificates</t>
  </si>
  <si>
    <t>Bachelor Degrees</t>
  </si>
  <si>
    <t>Masters Degrees</t>
  </si>
  <si>
    <t>Doctoral Degrees</t>
  </si>
  <si>
    <t>TOTAL OVERALL DEGREES CONFERRED</t>
  </si>
  <si>
    <t>2006-08 3 Year Avg</t>
  </si>
  <si>
    <t>2009-11 3 Year Avg</t>
  </si>
  <si>
    <t>Change in 3 Year Avg</t>
  </si>
  <si>
    <t xml:space="preserve"> - CHE will provide data for this metric. Institutions should verify the data before submission to CHE</t>
  </si>
  <si>
    <t>AT-RISK STUDENT DEGREE COMPLETION PFF METRIC</t>
  </si>
  <si>
    <t>AT-RISK STUDENT DEGREE COMPLETION PFF METRIC FOR AY 2006-2011</t>
  </si>
  <si>
    <t>HIGH IMPACT DEGREE COMPLETION PFF METRIC</t>
  </si>
  <si>
    <t>HIGH IMPACT DEGREE COMPLETION PFF METRIC FOR AY 2006-2011</t>
  </si>
  <si>
    <t xml:space="preserve"> - Only applies to IUB, PUWL, BSU and IUPUI General Academic</t>
  </si>
  <si>
    <t>STUDENT PERSISTENCE INCENTIVE METRIC</t>
  </si>
  <si>
    <t>2 Year Campuses</t>
  </si>
  <si>
    <t xml:space="preserve">   Successfully Completed 15 Credit Hours</t>
  </si>
  <si>
    <t xml:space="preserve">   Successfully Completed 30 Credit Hours</t>
  </si>
  <si>
    <t xml:space="preserve">   Successfully Completed 45 Credit Hours</t>
  </si>
  <si>
    <t xml:space="preserve">   Successfully Completed 60 Credit Hours</t>
  </si>
  <si>
    <t xml:space="preserve"> - Does not apply to IUB, PUWL, BSU or IUPUI General Academic</t>
  </si>
  <si>
    <t>OVERALL STUDENTS PERSISTING</t>
  </si>
  <si>
    <t xml:space="preserve"> - Assumes undergraduate resident students only, no reciprocity</t>
  </si>
  <si>
    <t xml:space="preserve"> - Use headcount of students meeting the persistence marks for each year</t>
  </si>
  <si>
    <t>REMEDIATION SUCCESS INCENTIVE</t>
  </si>
  <si>
    <t>REMEDIATION SUCCESS INCENTIVE PFF METRIC FOR AY 2006-2011</t>
  </si>
  <si>
    <t xml:space="preserve"> - Applies to Ivy Tech and VU only</t>
  </si>
  <si>
    <t>ON-TIME GRADUATION RATE METRIC</t>
  </si>
  <si>
    <t>ON-TIME GRADUATION PFF METRIC FOR AY 2006-2011</t>
  </si>
  <si>
    <t xml:space="preserve">  On-Time Graduation Rate</t>
  </si>
  <si>
    <t xml:space="preserve"> - Applies to Associate and Bachelor degrees only</t>
  </si>
  <si>
    <t xml:space="preserve">  Number of  Students Entering First Time, Full Time  (1)</t>
  </si>
  <si>
    <t xml:space="preserve">  Number of Students Receiving a Degree in 2 years</t>
  </si>
  <si>
    <t xml:space="preserve">  Number of Students Receiving a Degree in 4 years </t>
  </si>
  <si>
    <t>2007-13</t>
  </si>
  <si>
    <t>CAGR</t>
  </si>
  <si>
    <t>INSTITUTION DEFINED PRODUCTIVITY METRIC</t>
  </si>
  <si>
    <t>Associate Degrees</t>
  </si>
  <si>
    <t xml:space="preserve"> - CHE will provide a list of eligible degree programs to include</t>
  </si>
  <si>
    <t>BUDGET REPORT SCHEDULE VIII (BRS VIII)</t>
  </si>
  <si>
    <t>PERFORMANCE METRIC SCHEDULE II (PMS II)</t>
  </si>
  <si>
    <t>PERFORMANCE METRIC SCHEDULE I (PMS I)</t>
  </si>
  <si>
    <t>PERFORMANCE METRIC SCHEDULE III (PMS III)</t>
  </si>
  <si>
    <t>PERFORMANCE METRIC SCHEDULE IV (PMS IV)</t>
  </si>
  <si>
    <t>PERFORMANCE METRIC SCHEDULE V (PMS V)</t>
  </si>
  <si>
    <t>PERFORMANCE METRIC SCHEDULE VI (PMS VI)</t>
  </si>
  <si>
    <t>PERFORMANCE METRIC SCHEDULE VII (PMS VII)</t>
  </si>
  <si>
    <t>% Change</t>
  </si>
  <si>
    <t>2013 v 2014</t>
  </si>
  <si>
    <t>2014 v 2015</t>
  </si>
  <si>
    <t>C.  BREAKOUT OF DUAL CREDIT ENROLLMENT</t>
  </si>
  <si>
    <t>1.  Dual Credit Headcount</t>
  </si>
  <si>
    <t>2.  Dual Credit FTE</t>
  </si>
  <si>
    <t>A.  ANNUAL STUDENT HEADCOUNT</t>
  </si>
  <si>
    <t xml:space="preserve"> - VU may include 1 Year Certificates, Associate and Bachelor Degrees</t>
  </si>
  <si>
    <t>MATH COURSES</t>
  </si>
  <si>
    <t>ENGLISH COURSES</t>
  </si>
  <si>
    <t>4 year Institutions (Bachelor Only)</t>
  </si>
  <si>
    <t>2 Year Institutions</t>
  </si>
  <si>
    <t>4 Year Institutions</t>
  </si>
  <si>
    <t>STUDENT PERSISTENCE INCENTIVE PFF METRIC FOR FY 2006-2011</t>
  </si>
  <si>
    <t>1. Headcount, first-time entry, degree-seeking students entering in prior year needing only Math remediation</t>
  </si>
  <si>
    <t>a) Count from 1. successfully completing assigned remedial courses by the end of the reporting year</t>
  </si>
  <si>
    <t>b) Count from 1. successfully completing at least one Math gateway course by the end of the reporting year</t>
  </si>
  <si>
    <t>1. Headcount, first-time entry, degree-seeking students entering in prior year needing only English remediation</t>
  </si>
  <si>
    <t>b) Count from 1. successfully completing at least one English gateway course by the end of the reporting year</t>
  </si>
  <si>
    <t>BOTH MATH AND ENGLISH COURSES</t>
  </si>
  <si>
    <t>1. Headcount, first-time entry, degree-seeking students entering in prior year needing remediation in both Math and English</t>
  </si>
  <si>
    <t>Successful completion of remedial courses is defined as passing the remedial course (grade of D- or higher for graded courses; pass for pass/fail courses)</t>
  </si>
  <si>
    <t>Successful completion of a gateway course is defined as passing the gateway course (grade of D- or higher for graded courses; pass for pass/fail courses)</t>
  </si>
  <si>
    <t>Headcounts for lines 9, 13, and 17 should be unduplicated. If a student was identified as needing Math and English remediation, the student should be reported only once in the BOTH MATH AND ENGLISH COURSES section.</t>
  </si>
  <si>
    <t>Remediation success reporting is based on fiscal year (summer A, fall, spring, summer B)</t>
  </si>
  <si>
    <r>
      <t xml:space="preserve">STEP 1) </t>
    </r>
    <r>
      <rPr>
        <sz val="10"/>
        <rFont val="Times New Roman"/>
        <family val="1"/>
      </rPr>
      <t xml:space="preserve">Identify headcount of students enrolled as resident, first-time, degree-seeking students </t>
    </r>
    <r>
      <rPr>
        <b/>
        <sz val="10"/>
        <rFont val="Times New Roman"/>
        <family val="1"/>
      </rPr>
      <t>in the fiscal year prior to the reporting year</t>
    </r>
    <r>
      <rPr>
        <sz val="10"/>
        <rFont val="Times New Roman"/>
        <family val="1"/>
      </rPr>
      <t xml:space="preserve"> needing only Math remediation. Enter the number determined in STEP 1 in line 9</t>
    </r>
  </si>
  <si>
    <t>(e.g., for reporting year 2005-2006, identify first-time, degree seeking students enrolling in 2004-2005 who needed remediation)</t>
  </si>
  <si>
    <r>
      <t xml:space="preserve">STEP 2) </t>
    </r>
    <r>
      <rPr>
        <sz val="10"/>
        <rFont val="Times New Roman"/>
        <family val="1"/>
      </rPr>
      <t xml:space="preserve">Identify headcount of students from STEP 1 who successfully completed Math remedial courses </t>
    </r>
    <r>
      <rPr>
        <b/>
        <sz val="10"/>
        <rFont val="Times New Roman"/>
        <family val="1"/>
      </rPr>
      <t>within two fiscal years</t>
    </r>
    <r>
      <rPr>
        <sz val="10"/>
        <rFont val="Times New Roman"/>
        <family val="1"/>
      </rPr>
      <t xml:space="preserve"> of first time enrollment. Enter the number determined in STEP 2 in line 10.</t>
    </r>
  </si>
  <si>
    <t>(e.g., for reporting year 2005-2006, identify the subset of students from STEP 1 who successfully completed Math remedial courses by the end of 2005-2006)</t>
  </si>
  <si>
    <r>
      <t xml:space="preserve">STEP 3) </t>
    </r>
    <r>
      <rPr>
        <sz val="10"/>
        <rFont val="Times New Roman"/>
        <family val="1"/>
      </rPr>
      <t xml:space="preserve">Identify headcount of students from STEP 1 who successfully completed at least one Math gateway course </t>
    </r>
    <r>
      <rPr>
        <b/>
        <sz val="10"/>
        <rFont val="Times New Roman"/>
        <family val="1"/>
      </rPr>
      <t>within two fiscal years</t>
    </r>
    <r>
      <rPr>
        <sz val="10"/>
        <rFont val="Times New Roman"/>
        <family val="1"/>
      </rPr>
      <t xml:space="preserve"> of first time enrollment. Enter the number determined in STEP 3 in line 11.</t>
    </r>
  </si>
  <si>
    <t>(e.g., for reporting year 2005-2006, identify the subset of students from STEP 1 who successfully completed Math gateway courses by the end of 2005-2006)</t>
  </si>
  <si>
    <r>
      <t xml:space="preserve">STEP 4) </t>
    </r>
    <r>
      <rPr>
        <sz val="10"/>
        <rFont val="Times New Roman"/>
        <family val="1"/>
      </rPr>
      <t xml:space="preserve">Identify headcount of students enrolled as resident, first-time, degree seeking students </t>
    </r>
    <r>
      <rPr>
        <b/>
        <sz val="10"/>
        <rFont val="Times New Roman"/>
        <family val="1"/>
      </rPr>
      <t xml:space="preserve">in the fiscal year prior to the reporting year </t>
    </r>
    <r>
      <rPr>
        <sz val="10"/>
        <rFont val="Times New Roman"/>
        <family val="1"/>
      </rPr>
      <t>needing only English remediation. Enter the number determined in STEP 4 in line 13.</t>
    </r>
  </si>
  <si>
    <r>
      <t xml:space="preserve">STEP 5) </t>
    </r>
    <r>
      <rPr>
        <sz val="10"/>
        <rFont val="Times New Roman"/>
        <family val="1"/>
      </rPr>
      <t xml:space="preserve">Identify headcount of students from STEP 4 who successfully completed English remediation courses </t>
    </r>
    <r>
      <rPr>
        <b/>
        <sz val="10"/>
        <rFont val="Times New Roman"/>
        <family val="1"/>
      </rPr>
      <t xml:space="preserve">within two fiscal years </t>
    </r>
    <r>
      <rPr>
        <sz val="10"/>
        <rFont val="Times New Roman"/>
        <family val="1"/>
      </rPr>
      <t>of first time enrollment. Enter the number determined in STEP 5 in line 14.</t>
    </r>
  </si>
  <si>
    <r>
      <t xml:space="preserve">STEP 6) </t>
    </r>
    <r>
      <rPr>
        <sz val="10"/>
        <rFont val="Times New Roman"/>
        <family val="1"/>
      </rPr>
      <t xml:space="preserve">Identify headcount of students from STEP 4 who successfully completed at least one English gateway course </t>
    </r>
    <r>
      <rPr>
        <b/>
        <sz val="10"/>
        <rFont val="Times New Roman"/>
        <family val="1"/>
      </rPr>
      <t xml:space="preserve">within two fiscal years </t>
    </r>
    <r>
      <rPr>
        <sz val="10"/>
        <rFont val="Times New Roman"/>
        <family val="1"/>
      </rPr>
      <t>of first time enrollment. Enter the number determined in STEP 6 in line 15.</t>
    </r>
  </si>
  <si>
    <r>
      <t xml:space="preserve">STEP 7) </t>
    </r>
    <r>
      <rPr>
        <sz val="10"/>
        <rFont val="Times New Roman"/>
        <family val="1"/>
      </rPr>
      <t xml:space="preserve">Identify headcount of students enrolled as resident, first-time, degree-seeking students </t>
    </r>
    <r>
      <rPr>
        <b/>
        <sz val="10"/>
        <rFont val="Times New Roman"/>
        <family val="1"/>
      </rPr>
      <t xml:space="preserve">in the fiscal year prior to the reporting year </t>
    </r>
    <r>
      <rPr>
        <sz val="10"/>
        <rFont val="Times New Roman"/>
        <family val="1"/>
      </rPr>
      <t>needing both Math and English remediation. Enter the number determined in STEP 7 in line 17.</t>
    </r>
  </si>
  <si>
    <r>
      <t xml:space="preserve">STEP 8) </t>
    </r>
    <r>
      <rPr>
        <sz val="10"/>
        <rFont val="Times New Roman"/>
        <family val="1"/>
      </rPr>
      <t xml:space="preserve">Identify headcount of students from STEP 7 who successfully completed both Math and English remediation courses </t>
    </r>
    <r>
      <rPr>
        <b/>
        <sz val="10"/>
        <rFont val="Times New Roman"/>
        <family val="1"/>
      </rPr>
      <t xml:space="preserve">within two fiscal years </t>
    </r>
    <r>
      <rPr>
        <sz val="10"/>
        <rFont val="Times New Roman"/>
        <family val="1"/>
      </rPr>
      <t>of first time enrollment. Enter the number determined in STEP 8 in line 18.</t>
    </r>
  </si>
  <si>
    <t>2005-2006 Headcount</t>
  </si>
  <si>
    <t>2006-2007 Headcount</t>
  </si>
  <si>
    <t>2007-2008 Headcount</t>
  </si>
  <si>
    <t>2008-2009 Headcount</t>
  </si>
  <si>
    <t>2009-2010 Headcount</t>
  </si>
  <si>
    <t>2010-2011 Headcount</t>
  </si>
  <si>
    <r>
      <t xml:space="preserve">STEP 1) </t>
    </r>
    <r>
      <rPr>
        <sz val="10"/>
        <rFont val="Times New Roman"/>
        <family val="1"/>
      </rPr>
      <t xml:space="preserve">Identify students who enrolled as resident, first-time, full-time, Associate's degree seeking students in the fall one year prior to the reporting year (e.g., for reporting year 2005-2006, </t>
    </r>
  </si>
  <si>
    <r>
      <t xml:space="preserve">STEP 1) </t>
    </r>
    <r>
      <rPr>
        <sz val="10"/>
        <rFont val="Times New Roman"/>
        <family val="1"/>
      </rPr>
      <t>Identify students who enrolled as resident, first-time, full-time, Bachelor's degree seeking students in the fall three years prior to the reporting year (e.g., for reporting year 2005-2006,</t>
    </r>
  </si>
  <si>
    <t xml:space="preserve"> - Statewide Technology students are excluded from counts for Purdue West Lafayette</t>
  </si>
  <si>
    <t xml:space="preserve"> - Section C is subset of Section A.1 and B.1</t>
  </si>
  <si>
    <r>
      <t xml:space="preserve"> - </t>
    </r>
    <r>
      <rPr>
        <sz val="8"/>
        <rFont val="Times New Roman"/>
        <family val="1"/>
      </rPr>
      <t>FTE is calculated by taking sum of total census credit hours divided by 30 for undergraduates and 24 for graduates. For FTE calculations, high school students are considered undergraduates</t>
    </r>
  </si>
  <si>
    <t xml:space="preserve"> - For all other four year institutions, only Bachelor, Master's, and Doctoral degrees conferred are counted</t>
  </si>
  <si>
    <t xml:space="preserve"> - Assumes resident students only, no reciprocity. Residency status is based on residency at the time of degree conferment</t>
  </si>
  <si>
    <t xml:space="preserve"> - Includes all degrees conferred in a given year (B, M, D for 4-year institutions other than VU; Cert, Associate, and Bachelor for VU; and Cert and Associate for ITTCI)</t>
  </si>
  <si>
    <t xml:space="preserve"> - Statewide Technology degrees conferred are excluded from Purdue West Lafayette counts</t>
  </si>
  <si>
    <t xml:space="preserve"> - "At-risk" is defined as Pell recipient at time of degree conferral</t>
  </si>
  <si>
    <t xml:space="preserve"> - Includes all degrees conferred in identified STEM areas in a given year (Bachelor, Master's, Doctoral)</t>
  </si>
  <si>
    <t xml:space="preserve"> - Assumes undergraduate , degree-seeking, resident students only, no reciprocity</t>
  </si>
  <si>
    <t xml:space="preserve"> - Resident status is based on FY being reported (e.g., for reporting FY06, the student must have been an Indiana resident during 05-06)</t>
  </si>
  <si>
    <t xml:space="preserve"> - Credit hour counts may include credits transferred in. However, a student must hit the credit hour threshold while enrolled at the institution (e.g., a student cannot transfer in 15 credits</t>
  </si>
  <si>
    <t xml:space="preserve">    and be counted in the "successfully completed 15 credit hours" category. A student COULD transfer in 12 credit hours and earn three at the reporting institution and be counted in the </t>
  </si>
  <si>
    <t xml:space="preserve"> - Based on fiscal year (summer A, fall, spring, summer B)</t>
  </si>
  <si>
    <t>Instructions for calculating headcount</t>
  </si>
  <si>
    <r>
      <t xml:space="preserve">STEP 1) </t>
    </r>
    <r>
      <rPr>
        <sz val="10"/>
        <rFont val="Times New Roman"/>
        <family val="1"/>
      </rPr>
      <t>Identify headcount of all resident, degree-seeking undergraduate students who reached 15 earned credit hours during the FY being reported. The 15th credit hour must</t>
    </r>
  </si>
  <si>
    <r>
      <t xml:space="preserve">STEP 2) </t>
    </r>
    <r>
      <rPr>
        <sz val="10"/>
        <rFont val="Times New Roman"/>
        <family val="1"/>
      </rPr>
      <t xml:space="preserve">Identify headcount of all resident, degree-seeking undergraduate students who reached 30 earned credit hours during the FY being reported. The 30th credit hour must </t>
    </r>
  </si>
  <si>
    <r>
      <t xml:space="preserve">STEP 3) </t>
    </r>
    <r>
      <rPr>
        <sz val="10"/>
        <rFont val="Times New Roman"/>
        <family val="1"/>
      </rPr>
      <t>Identify headcount of all resident, degree-seeking undergraduate students who reached 45 earned credit hours during the FY being reported. The 45th credit hour must</t>
    </r>
  </si>
  <si>
    <r>
      <t xml:space="preserve">STEP 1) </t>
    </r>
    <r>
      <rPr>
        <sz val="10"/>
        <rFont val="Times New Roman"/>
        <family val="1"/>
      </rPr>
      <t>Identify headcount of all resident, degree-seeking undergraduate students who reached 30 earned credit hours during the FY being reported. The 30th credit hour must</t>
    </r>
  </si>
  <si>
    <r>
      <t xml:space="preserve">STEP 2) </t>
    </r>
    <r>
      <rPr>
        <sz val="10"/>
        <rFont val="Times New Roman"/>
        <family val="1"/>
      </rPr>
      <t>Identify headcount of all resident, degree-seeking undergraduate students who reached 60 earned credit hours during the FY being reported. The 60th credit hour must</t>
    </r>
  </si>
  <si>
    <t xml:space="preserve"> (1) Applies to remedial courses in English and Math only. Gateway courses are defined as follows:</t>
  </si>
  <si>
    <t>An entry, college-level, non-remedial course that is required for completion of the major/degree. Typically the gateway course is the first English or Math course that the student is required to take toward the major/degree</t>
  </si>
  <si>
    <t>Ivy Tech gateway courses: English Composition (ENG111); Concepts in Mathematics (MATH118); College Algebra (MATH136)</t>
  </si>
  <si>
    <t>Vincennes gateway courses: English Composition I (ENGL101); College Algebra (MATH102); Applied Mathematics (MATT107); Apprenticeship Mathematics I (MATA101)</t>
  </si>
  <si>
    <t xml:space="preserve"> - Assumes undergraduate, degree-seeking resident students only, no reciprocity</t>
  </si>
  <si>
    <t xml:space="preserve"> - Courses must be completed at the same institution </t>
  </si>
  <si>
    <t xml:space="preserve"> - Use headcount of students meeting the remediation success marks for each year</t>
  </si>
  <si>
    <t>Instructions for Calculating Remediation Success</t>
  </si>
  <si>
    <t xml:space="preserve"> - VU may include both Associate and Bachelor Degrees; therefore, VU must fill out lines 8-9 and lines 13-14</t>
  </si>
  <si>
    <t xml:space="preserve"> - Residency status is based on residency at time of cohort entry </t>
  </si>
  <si>
    <r>
      <t xml:space="preserve">STEP 2) </t>
    </r>
    <r>
      <rPr>
        <sz val="10"/>
        <rFont val="Times New Roman"/>
        <family val="1"/>
      </rPr>
      <t xml:space="preserve">For the students identified in STEP 1, determine the number of students who earned an Associate's degree by the end of the academic year (August) for which data are being reported. </t>
    </r>
  </si>
  <si>
    <t xml:space="preserve">In order to be included in STEP 2, the student must have earned the Associate's degree from the same institution at which the student was counted in STEP 1. </t>
  </si>
  <si>
    <r>
      <t xml:space="preserve">STEP 2) </t>
    </r>
    <r>
      <rPr>
        <sz val="10"/>
        <rFont val="Times New Roman"/>
        <family val="1"/>
      </rPr>
      <t>For the students identified in STEP 1, determine the number of students who earned a Bachelor's degree by the end of the academic year (August) for which data are being reported.</t>
    </r>
  </si>
  <si>
    <t xml:space="preserve">In order to be included in STEP 2, the student must have earned the Bachelor's degree from the same institution at which the student was counted in STEP 1.  </t>
  </si>
  <si>
    <t>2 Year Institutions (Associates Only)</t>
  </si>
  <si>
    <t xml:space="preserve">    c. Reciprocity Non-Resident</t>
  </si>
  <si>
    <t>Notes</t>
  </si>
  <si>
    <t xml:space="preserve"> - Counts include both degree-seeking and non-degree-seeking students</t>
  </si>
  <si>
    <t xml:space="preserve"> - Data to be provided by CHE through SIS as of 2011  </t>
  </si>
  <si>
    <t xml:space="preserve"> - Assumes resident students only, no reciprocity. Residency status is based on residency at the time of degree conferment </t>
  </si>
  <si>
    <t xml:space="preserve">   "successfully completed 15 credit hours" category </t>
  </si>
  <si>
    <t>have been earned at the reporting institution</t>
  </si>
  <si>
    <r>
      <t xml:space="preserve">STEP 9) </t>
    </r>
    <r>
      <rPr>
        <sz val="10"/>
        <rFont val="Times New Roman"/>
        <family val="1"/>
      </rPr>
      <t xml:space="preserve">Identify headcount of students from STEP 7 who successfully completed at least one Math and at least one English gateway course </t>
    </r>
    <r>
      <rPr>
        <b/>
        <sz val="10"/>
        <rFont val="Times New Roman"/>
        <family val="1"/>
      </rPr>
      <t xml:space="preserve">within two fiscal years </t>
    </r>
    <r>
      <rPr>
        <sz val="10"/>
        <rFont val="Times New Roman"/>
        <family val="1"/>
      </rPr>
      <t>of first time enrollment. Enter the number determined in STEP 9 in line 19.</t>
    </r>
  </si>
  <si>
    <t>b) Count from 1. successfully completing at least one Math and English gateway course by the end of the reporting year</t>
  </si>
  <si>
    <t xml:space="preserve"> - Degree seeking students, no exclusions, fall enrollment for cohorts only</t>
  </si>
  <si>
    <t>(1) Should be the cohort entering in the fall 2 or 4 years prior to graduation.  Example, 2005-06 should be the cohort of 2004-05 for 2 year and 2002-2003 for 4 year</t>
  </si>
  <si>
    <t>identify students who enrolled as first-time, full-time, Associate's degree seeking students in the fall of the 2004-2005 academic year). Enter the number determined in STEP 1 in line 8</t>
  </si>
  <si>
    <t>Enter the number determined in STEP 2 in line 9</t>
  </si>
  <si>
    <t>identify students who enrolled as first-time, full-time, Bachelor's degree seeking students in fall of the 2002-2003 academic year). Enter the number determined in STEP 1 in line 13</t>
  </si>
  <si>
    <t>Enter the number determined in STEP 2 in line 14</t>
  </si>
  <si>
    <t>SUMMARY OF STUDENT ENROLLMENT BY DEGREE TYPE AND RESIDENCY (FTE AND HEADCOUNT)</t>
  </si>
  <si>
    <t xml:space="preserve"> - For all other four year institutions, only Bachelor degrees conferred are counted</t>
  </si>
  <si>
    <t xml:space="preserve"> - Includes all degrees conferred to Pell recipients in a given year (Bachelor for 4-year institutions other than VU; Cert, Associate, and Bachelor for VU; and Cert and Associate for ITTCI)</t>
  </si>
  <si>
    <t>IU - Bloomington</t>
  </si>
  <si>
    <t>ALL INSTITUTIONS</t>
  </si>
  <si>
    <t>IU - East</t>
  </si>
  <si>
    <t>IU - Kokomo</t>
  </si>
  <si>
    <t>IU - Northwest</t>
  </si>
  <si>
    <t>IU - South Bend</t>
  </si>
  <si>
    <t>IU - Southeast</t>
  </si>
  <si>
    <t>IUPUI - School of Medicine and Dentistry</t>
  </si>
  <si>
    <t>IUPUI - General Academics</t>
  </si>
  <si>
    <t xml:space="preserve"> - High school = students reported with class level of 01 (high school) or entry type = 4 (dual credit)</t>
  </si>
  <si>
    <r>
      <t xml:space="preserve"> - </t>
    </r>
    <r>
      <rPr>
        <b/>
        <sz val="8"/>
        <rFont val="Times New Roman"/>
        <family val="1"/>
      </rPr>
      <t>Undergraduate</t>
    </r>
    <r>
      <rPr>
        <sz val="8"/>
        <rFont val="Times New Roman"/>
        <family val="1"/>
      </rPr>
      <t xml:space="preserve"> = students reported with class level of 01 (high school); 02 (certificate 1 year); 03 (certificate 2 year); 04-05 (Associate); 06-09 (Baccalaureate); 16 (unclassified undergraduate); 18 (unclassified certificate); 19 (unclassified associate) </t>
    </r>
  </si>
  <si>
    <t xml:space="preserve">    20 (unclassified certificate/associate); and 21 (certificate-less than 1 year)</t>
  </si>
  <si>
    <r>
      <t xml:space="preserve"> - </t>
    </r>
    <r>
      <rPr>
        <b/>
        <sz val="8"/>
        <rFont val="Times New Roman"/>
        <family val="1"/>
      </rPr>
      <t xml:space="preserve">Graduate </t>
    </r>
    <r>
      <rPr>
        <sz val="8"/>
        <rFont val="Times New Roman"/>
        <family val="1"/>
      </rPr>
      <t>= students reported with class level of 10 (post-baccalaureate certificate); 11 (Master's); 12 (post-master's certificate) 13 (other graduate); 15 (doctoral); 17 (unclassified graduate); and 25 (doctor's degree-research/scholarship)</t>
    </r>
  </si>
  <si>
    <r>
      <t xml:space="preserve"> - </t>
    </r>
    <r>
      <rPr>
        <b/>
        <sz val="8"/>
        <rFont val="Times New Roman"/>
        <family val="1"/>
      </rPr>
      <t>Professional</t>
    </r>
    <r>
      <rPr>
        <sz val="8"/>
        <rFont val="Times New Roman"/>
        <family val="1"/>
      </rPr>
      <t xml:space="preserve"> = students reported with class level of of 14 (first professional) or 24 (doctor's degree-professional practice)</t>
    </r>
  </si>
  <si>
    <t>IU Note:</t>
  </si>
  <si>
    <t xml:space="preserve"> - Dual credit is based on successfully completed hours with data as of 6/25/2012</t>
  </si>
  <si>
    <t>IU - Total System</t>
  </si>
  <si>
    <t>IU - Southeat</t>
  </si>
  <si>
    <t>ALL RESEARCH INSTITUTIONS</t>
  </si>
  <si>
    <t>ALL NON-RESEARCH INSTITUTIONS</t>
  </si>
  <si>
    <t>INDIANA UNIVERSITY</t>
  </si>
  <si>
    <t>Metric - Funding per in-state bachelors degree produced</t>
  </si>
  <si>
    <t>Bloomington</t>
  </si>
  <si>
    <t>East</t>
  </si>
  <si>
    <t>Kokomo</t>
  </si>
  <si>
    <t>Northwest</t>
  </si>
  <si>
    <t>South Bend</t>
  </si>
  <si>
    <t>Southeast</t>
  </si>
  <si>
    <t>TOTAL IU SYSTEM</t>
  </si>
  <si>
    <t>PU - West Lafayette</t>
  </si>
  <si>
    <t>Orig counts from ICHE matched</t>
  </si>
  <si>
    <t>Counts from Purdue where Statewide Tech students were removed</t>
  </si>
  <si>
    <t>PU - Calumet</t>
  </si>
  <si>
    <t>IP - Fort Wayne</t>
  </si>
  <si>
    <t>PU - North Central</t>
  </si>
  <si>
    <t>PU Note:</t>
  </si>
  <si>
    <t>PU - Total System</t>
  </si>
  <si>
    <t>College Affordability Index</t>
  </si>
  <si>
    <t>State Appropriation Efficiency</t>
  </si>
  <si>
    <t>Affordability Performance Metric</t>
  </si>
  <si>
    <t>Metric - Affordability index per in-state bachelors degree produced</t>
  </si>
  <si>
    <t>Undergrad Bachelors FTE</t>
  </si>
  <si>
    <t>Annual IN Resident Bachelors Grads</t>
  </si>
  <si>
    <t>Degree Attainment Efficiency Rate</t>
  </si>
  <si>
    <t>Metric - Degree attainment in-state bachelors degree per in-state undergrad FTE</t>
  </si>
  <si>
    <t>Indiana State University</t>
  </si>
  <si>
    <t>Metric - Student to Faculty and Staff Ratio:  Split between Faculty and Other staff</t>
  </si>
  <si>
    <t>Student FTE</t>
  </si>
  <si>
    <t>Faculty FTE</t>
  </si>
  <si>
    <t>Student/Faculty Ratio</t>
  </si>
  <si>
    <t>Staff FTE</t>
  </si>
  <si>
    <t>Student/Staff Ratio</t>
  </si>
  <si>
    <t>Ball State University</t>
  </si>
  <si>
    <t>University of Southern Indiana</t>
  </si>
  <si>
    <t>Annual Distance Education Enrollments at USI</t>
  </si>
  <si>
    <t xml:space="preserve">   Undergraduate Headcount for IN Residents</t>
  </si>
  <si>
    <t xml:space="preserve">   Graduate Headcount for IN Residents</t>
  </si>
  <si>
    <t>Total Headcount for IN Residents</t>
  </si>
  <si>
    <t xml:space="preserve">   Undergraduate FTE for IN Residents</t>
  </si>
  <si>
    <t xml:space="preserve">   Graduate FTE for IN Residents</t>
  </si>
  <si>
    <t>Total FTE for IN Residents</t>
  </si>
  <si>
    <t>Savings on Cost of Undergraduate Attendance Per FTE</t>
  </si>
  <si>
    <t xml:space="preserve">   Savings for Undergraduate FTE for IN Resident </t>
  </si>
  <si>
    <t xml:space="preserve">   Savings Per Credit Hour on Cost of Attendance</t>
  </si>
  <si>
    <t>Total Savings on Cost of Attendance - Undergraduate</t>
  </si>
  <si>
    <t>Savings on Cost of Graduate Attendance Per FTE</t>
  </si>
  <si>
    <t xml:space="preserve">   Savings for Graduate FTE for IN Residents</t>
  </si>
  <si>
    <t>Total Savings on Cost of Attendance - Graduate</t>
  </si>
  <si>
    <t>Metric - Online and Distance Education</t>
  </si>
  <si>
    <t xml:space="preserve">The average savings on Cost of Attendance per FTE is approximately $58.33 per credit hour for undergraduate resident students and $71.16 for graduate resident students </t>
  </si>
  <si>
    <t>Please reference attached information concerning USI's Distance Education Institution Defined Performance Metric</t>
  </si>
  <si>
    <t>Ivy Tech Community College of Indiana - Total System</t>
  </si>
  <si>
    <t>Ivy Tech Comm College IN - Total System</t>
  </si>
  <si>
    <t>ALL 2 YEAR INSTITUTIONS</t>
  </si>
  <si>
    <t>% of students completing math gateway course from remediation</t>
  </si>
  <si>
    <t>% of students completing math remediation</t>
  </si>
  <si>
    <t>% of students completing english remediation</t>
  </si>
  <si>
    <t>% of students completing english gateway course from remediation</t>
  </si>
  <si>
    <t>% of students completing both math &amp; english remediation</t>
  </si>
  <si>
    <t>% of students completing math &amp; english gateway course from remediation</t>
  </si>
  <si>
    <t>Savings to students who attend ITCCI and transfer credits</t>
  </si>
  <si>
    <t>Savings to state for students who attend ITCCI and transfer credits</t>
  </si>
  <si>
    <t>Total savings to students and state</t>
  </si>
  <si>
    <t>Metric - Savings to students and the State when students attend ITCCI and transfer credits to a 4 year public Indiana postsecondary institution</t>
  </si>
  <si>
    <t>Vincennes University</t>
  </si>
  <si>
    <t>% of total math remediation students completing gateway</t>
  </si>
  <si>
    <t>% of total english remediation students completing gateway</t>
  </si>
  <si>
    <t>% of total english &amp; math remediation students completing gateway</t>
  </si>
  <si>
    <t>Metric - Savings to students who take early college courese which are transferable versus at a public postsecondary institution</t>
  </si>
  <si>
    <t>Credit Hours Completed and Transferable</t>
  </si>
  <si>
    <t>* CHE Assessment based on impact of IDPM.  Ranking is No, Low, Moderate and Significant</t>
  </si>
  <si>
    <t>IUB</t>
  </si>
  <si>
    <t>IUK</t>
  </si>
  <si>
    <t>IUE</t>
  </si>
  <si>
    <t>IUN</t>
  </si>
  <si>
    <t>IUSB</t>
  </si>
  <si>
    <t>IUS</t>
  </si>
  <si>
    <t>TOTAL IU</t>
  </si>
  <si>
    <t>PUWL</t>
  </si>
  <si>
    <t>PUC</t>
  </si>
  <si>
    <t>IPFW</t>
  </si>
  <si>
    <t>PUNC</t>
  </si>
  <si>
    <t>TOTAL PU</t>
  </si>
  <si>
    <t>ISU</t>
  </si>
  <si>
    <t>BSU</t>
  </si>
  <si>
    <t>USI</t>
  </si>
  <si>
    <t>VU</t>
  </si>
  <si>
    <t>ITCCI</t>
  </si>
  <si>
    <t>3 Yr Avg Change</t>
  </si>
  <si>
    <t>PFF Impact</t>
  </si>
  <si>
    <t>1 Yr Cert</t>
  </si>
  <si>
    <t>Associate</t>
  </si>
  <si>
    <t>Bachelor</t>
  </si>
  <si>
    <t>Master</t>
  </si>
  <si>
    <t>Doctoral</t>
  </si>
  <si>
    <t>* Assumes a negative result defaults to 0</t>
  </si>
  <si>
    <t>TOTAL METRIC CHANGE</t>
  </si>
  <si>
    <t>TOTAL PFF IMPACT</t>
  </si>
  <si>
    <t>At-Risk Degree Completion Metric</t>
  </si>
  <si>
    <t>Overall Degree Completion Metric</t>
  </si>
  <si>
    <t>High Impact Degree Completion Metric</t>
  </si>
  <si>
    <t>15 CH</t>
  </si>
  <si>
    <t>45 CH</t>
  </si>
  <si>
    <t>Match Raw Data</t>
  </si>
  <si>
    <t>Remediation Success Metric</t>
  </si>
  <si>
    <t>Math</t>
  </si>
  <si>
    <t>English</t>
  </si>
  <si>
    <t>Math &amp; English</t>
  </si>
  <si>
    <t>On-Time Graduation Rate</t>
  </si>
  <si>
    <t>2 Year</t>
  </si>
  <si>
    <t>4 Year</t>
  </si>
  <si>
    <t>Institution Defined</t>
  </si>
  <si>
    <t>Productivity Metric</t>
  </si>
  <si>
    <t>NO</t>
  </si>
  <si>
    <t>Commission for Higher Education 2013-15 Budget Development - DRAFT 7-2012</t>
  </si>
  <si>
    <t>Student Persistence Metric</t>
  </si>
  <si>
    <t>Performance Funding Formula Metrics and Weighting Outcomes</t>
  </si>
  <si>
    <t>FY 2014 PFF Allocation</t>
  </si>
  <si>
    <t>At-Risk Degree Completion</t>
  </si>
  <si>
    <t>High Impact Degree Completion</t>
  </si>
  <si>
    <t xml:space="preserve">Student Persistence </t>
  </si>
  <si>
    <t>Remediation Success</t>
  </si>
  <si>
    <t>FY 2015 PFF Allocation</t>
  </si>
  <si>
    <t>Student Persistence</t>
  </si>
  <si>
    <t>Institution Defined Prod Metric</t>
  </si>
  <si>
    <t>Percent of 2014 PFF Allocation</t>
  </si>
  <si>
    <t>Total Amount Per Metric</t>
  </si>
  <si>
    <t>Total PFF</t>
  </si>
  <si>
    <t>Allocation</t>
  </si>
  <si>
    <t>Fiscal Year 2014</t>
  </si>
  <si>
    <t xml:space="preserve"> - % of Overall Degree Completion Rate</t>
  </si>
  <si>
    <t>60 CH</t>
  </si>
  <si>
    <t>MODERATE</t>
  </si>
  <si>
    <t>LOW</t>
  </si>
  <si>
    <t>SIGNIFICANT</t>
  </si>
  <si>
    <t>IUPUI GA</t>
  </si>
  <si>
    <t>FY13 Approp</t>
  </si>
  <si>
    <t>Base Budget</t>
  </si>
  <si>
    <t>PFF Allocation</t>
  </si>
  <si>
    <t>FY14 Approp</t>
  </si>
  <si>
    <t>FY15 Approp</t>
  </si>
  <si>
    <t>30 CH (2YR)</t>
  </si>
  <si>
    <t>30 CH (4 YR)</t>
  </si>
  <si>
    <t>Net Impact</t>
  </si>
  <si>
    <t>Fiscal Year 2015</t>
  </si>
  <si>
    <t>Total Biennial Growth</t>
  </si>
  <si>
    <t>$</t>
  </si>
  <si>
    <t>%</t>
  </si>
  <si>
    <t>Model Output</t>
  </si>
  <si>
    <t xml:space="preserve"> - Increase from 2014 to 2015 Allocation</t>
  </si>
  <si>
    <t>New Funding</t>
  </si>
  <si>
    <t xml:space="preserve"> - % Increase in new funding</t>
  </si>
  <si>
    <t>Weight</t>
  </si>
  <si>
    <t>Current Funding</t>
  </si>
  <si>
    <t>FY 2013 Operating Appropriation (1)</t>
  </si>
  <si>
    <t>IDPM</t>
  </si>
  <si>
    <t>Overall Degree</t>
  </si>
  <si>
    <t>At-Risk Degree</t>
  </si>
  <si>
    <t>High Impact Degree</t>
  </si>
  <si>
    <t>On-Time Grad Rate</t>
  </si>
  <si>
    <t xml:space="preserve"> - Inc in Weighting for New Funding</t>
  </si>
  <si>
    <t xml:space="preserve"> - Diff in Alloc.</t>
  </si>
  <si>
    <t>Research Campuses</t>
  </si>
  <si>
    <t>4 Year Comprehensive Campuses</t>
  </si>
  <si>
    <t>FISCAL YEAR 2014</t>
  </si>
  <si>
    <t>FISCAL YEAR 2015</t>
  </si>
  <si>
    <t>Indiana Commission for Higher Education</t>
  </si>
  <si>
    <t>2013-15 Higher Education Performance Funding Formula Model</t>
  </si>
  <si>
    <t>Research Campuses*</t>
  </si>
  <si>
    <t xml:space="preserve"> - FY 2014 Reallocation %</t>
  </si>
  <si>
    <t xml:space="preserve"> - FY 2015 Reallocation %</t>
  </si>
  <si>
    <t>2013-15 Higher Education Performance Funding Formula Model - Weighting and Rates for PFF</t>
  </si>
  <si>
    <t>Overall Degree Completion</t>
  </si>
  <si>
    <t>Ratio of Degrees vs. Resident FTE 2007 - 2011</t>
  </si>
  <si>
    <t>Ratio of Student Persistence HC vs. Resident HC 2007 - 2011</t>
  </si>
  <si>
    <t>Ratio of On-Time Degrees vs. Overall Degrees 2006-2011</t>
  </si>
  <si>
    <t>Performance Formula Funding - By Institution</t>
  </si>
  <si>
    <t>2011-13 As-Passed Higher Education Budget</t>
  </si>
  <si>
    <t xml:space="preserve">Funds set aside </t>
  </si>
  <si>
    <t>Successful</t>
  </si>
  <si>
    <t>Dual Credit</t>
  </si>
  <si>
    <t>Early College</t>
  </si>
  <si>
    <t>Low Income</t>
  </si>
  <si>
    <t>On-Time</t>
  </si>
  <si>
    <t>Change in</t>
  </si>
  <si>
    <t>Research</t>
  </si>
  <si>
    <t>Total</t>
  </si>
  <si>
    <t xml:space="preserve">% of </t>
  </si>
  <si>
    <t>Gain or</t>
  </si>
  <si>
    <t>for Perf. Form.</t>
  </si>
  <si>
    <t>Completion</t>
  </si>
  <si>
    <t>Degree</t>
  </si>
  <si>
    <t>Incentive</t>
  </si>
  <si>
    <t>Perf. Form.</t>
  </si>
  <si>
    <t>Loss with</t>
  </si>
  <si>
    <t>Pool</t>
  </si>
  <si>
    <t>Credit Hour</t>
  </si>
  <si>
    <t>Change</t>
  </si>
  <si>
    <t>Overall</t>
  </si>
  <si>
    <t>Funding</t>
  </si>
  <si>
    <t>Perf. Form</t>
  </si>
  <si>
    <t>Indiana University</t>
  </si>
  <si>
    <t>IU Totals</t>
  </si>
  <si>
    <t>Purdue University</t>
  </si>
  <si>
    <t>West Lafayette</t>
  </si>
  <si>
    <t>Calumet</t>
  </si>
  <si>
    <t>North Central</t>
  </si>
  <si>
    <t>PU Totals</t>
  </si>
  <si>
    <t>Univ. Southern Indiana</t>
  </si>
  <si>
    <t>Ivy Tech Community College of IN</t>
  </si>
  <si>
    <t>Total Perf. Formula</t>
  </si>
  <si>
    <t>% of Perf. Formula</t>
  </si>
  <si>
    <t>Weighting in Formula</t>
  </si>
  <si>
    <t>FUNDING - OPERATING STATE APPROPRIATIONS (1)</t>
  </si>
  <si>
    <t>Vincennes</t>
  </si>
  <si>
    <t>Ivy Tech</t>
  </si>
  <si>
    <t>IU Bloom</t>
  </si>
  <si>
    <t>IU East</t>
  </si>
  <si>
    <t>IU Kokomo</t>
  </si>
  <si>
    <t>IU NW</t>
  </si>
  <si>
    <t>IU S Bend</t>
  </si>
  <si>
    <t>IU Southeast</t>
  </si>
  <si>
    <t>Purdue WL</t>
  </si>
  <si>
    <t>PU Calumet</t>
  </si>
  <si>
    <t>PU N Central</t>
  </si>
  <si>
    <t>All IHE</t>
  </si>
  <si>
    <t>3 Year</t>
  </si>
  <si>
    <t>5 Year</t>
  </si>
  <si>
    <t>9 Year</t>
  </si>
  <si>
    <t>RESIDENT DEGREE SEEKING (EXLUDING HIGH SCHOOL) FTE, GRAD &amp; UNDERGRAD (2)</t>
  </si>
  <si>
    <t>FUNDING PER RESIDENT DEGREE SEEKING FTE (Not Adjusted for Inflation)</t>
  </si>
  <si>
    <t>K-12 Information</t>
  </si>
  <si>
    <t>2003 Enrollment</t>
  </si>
  <si>
    <t>2003 Tuition Asst</t>
  </si>
  <si>
    <t xml:space="preserve"> - Includes General Fund and Prop Tax Replacement Funds</t>
  </si>
  <si>
    <t>2003 Per-Pupil</t>
  </si>
  <si>
    <t>2006 Enrollment</t>
  </si>
  <si>
    <t>2006 Tuition Asst</t>
  </si>
  <si>
    <t>2006 Per-Pupil</t>
  </si>
  <si>
    <t>2009 Enrollment</t>
  </si>
  <si>
    <t>2009 Tuition Asst</t>
  </si>
  <si>
    <t>2009 Per-Pupil</t>
  </si>
  <si>
    <t>2011 Enrollment</t>
  </si>
  <si>
    <t>2011 Tuition Asst</t>
  </si>
  <si>
    <t xml:space="preserve"> - General Fund Only</t>
  </si>
  <si>
    <t>2011 Per-Pupil</t>
  </si>
  <si>
    <t>Savings to state for students who attend VU and transfer credits</t>
  </si>
  <si>
    <t>Total savings to students</t>
  </si>
  <si>
    <t>High Impact Degrees vs. Overall Degree Production PMS I</t>
  </si>
  <si>
    <t>(2)  FTE Information based on BRS VIII Submission by institution</t>
  </si>
  <si>
    <t>(1)   As passed appropriations for operating funds only.  PUWL exludes funds for CES and ARS actual through 2011, assumes 2.5% increase from 2011 levelfor 2012 through 2015</t>
  </si>
  <si>
    <t>(1) Excludes IU Med and Dental School Approp and adjusts IUPUI GA for shift from IUPUI Med and Dental</t>
  </si>
  <si>
    <t>IUPUI GA (1)</t>
  </si>
  <si>
    <t>IU SOMD (1)</t>
  </si>
  <si>
    <t>(1) $4.5M was removed from the IUPUI Health appropriation and shifted to the IUPUI GA appropriation to account for changes in funding for schools.  The school of Nursing and School of Rehab Sciences was funded through IUPUI Health but will now be funded through IUPUI GA</t>
  </si>
  <si>
    <t>3 Year Avg</t>
  </si>
  <si>
    <t>Health Care Employer Contributions</t>
  </si>
  <si>
    <t>State of Indiana</t>
  </si>
  <si>
    <t>BSU Compared to State of Indiana</t>
  </si>
  <si>
    <t>Energy Costs Comparison</t>
  </si>
  <si>
    <t>BSU Total Costs per GSF</t>
  </si>
  <si>
    <t>Inflation Adjusted National Average Costs per GSF</t>
  </si>
  <si>
    <t>BSU Compared to National Average</t>
  </si>
  <si>
    <t>Administrative Staff Comparison</t>
  </si>
  <si>
    <t xml:space="preserve">BSU  </t>
  </si>
  <si>
    <t>Peer Average (includes other MAC schools and IN Research Campuses)</t>
  </si>
  <si>
    <t>BSU Compared to Peer Institutions</t>
  </si>
  <si>
    <t>Overall Comparison</t>
  </si>
  <si>
    <t>3 Yr Avg</t>
  </si>
  <si>
    <t>FY 2011 Exp</t>
  </si>
  <si>
    <t>% of Exp</t>
  </si>
  <si>
    <t>% of GF Exp</t>
  </si>
  <si>
    <t>Weighted 3 Yr Avg Index</t>
  </si>
  <si>
    <t>Health Care</t>
  </si>
  <si>
    <t>Energy/Utilities</t>
  </si>
  <si>
    <t>Administrative Staffing</t>
  </si>
  <si>
    <t>Metric - Efficiencies in health care costs to employer, energy and administrative staff.  As compared to other entities.</t>
  </si>
  <si>
    <t>Ratio of Pell Degrees vs. Pell FTE 2006 - 2011</t>
  </si>
  <si>
    <t xml:space="preserve"> - % of Associate Value</t>
  </si>
  <si>
    <t xml:space="preserve"> - % of Bachelor Value</t>
  </si>
  <si>
    <t xml:space="preserve"> - % of Master Value</t>
  </si>
  <si>
    <t>Overall Improvement in the IDPM</t>
  </si>
  <si>
    <t xml:space="preserve"> - Based on 3 year Change compared to 3 year average 2006-08</t>
  </si>
  <si>
    <t xml:space="preserve"> - Compounded Annaul Growth Rate 2008-2011</t>
  </si>
  <si>
    <t xml:space="preserve"> - Change from 2010 to 2012</t>
  </si>
  <si>
    <t xml:space="preserve"> - Change from 2009 to 2011</t>
  </si>
  <si>
    <t>FY15 vs FY 14</t>
  </si>
  <si>
    <t>Committee Potential Impact Assessment*</t>
  </si>
  <si>
    <t>Staff Performance Impact Assessment</t>
  </si>
  <si>
    <t xml:space="preserve"> - Compunded Annual Growth Rate FTE 2007-2011</t>
  </si>
  <si>
    <t xml:space="preserve"> - Compounded Annaul Growth Rate 2007-2011</t>
  </si>
  <si>
    <t xml:space="preserve"> - Compunded Annual Growth Rate FTE 2008-2011</t>
  </si>
  <si>
    <t xml:space="preserve">IUS </t>
  </si>
  <si>
    <t>IUPUI</t>
  </si>
  <si>
    <t>IVY</t>
  </si>
  <si>
    <t>Award Assessment</t>
  </si>
  <si>
    <t>SIG/MOD</t>
  </si>
  <si>
    <t>SIG/SIG</t>
  </si>
  <si>
    <t>SIG/NO</t>
  </si>
  <si>
    <t>MOD/MOD</t>
  </si>
  <si>
    <t>MOD/NO</t>
  </si>
  <si>
    <t>MOD/SIG</t>
  </si>
  <si>
    <t>LOW/MOD</t>
  </si>
  <si>
    <t>2013-15 Metric Allocation and Allotment Recommendation</t>
  </si>
  <si>
    <t>IUPUI SOMD</t>
  </si>
  <si>
    <t>FY 2014</t>
  </si>
  <si>
    <t xml:space="preserve">Overall </t>
  </si>
  <si>
    <t xml:space="preserve">Degree </t>
  </si>
  <si>
    <t>At-Risk</t>
  </si>
  <si>
    <t>High Impact</t>
  </si>
  <si>
    <t>Student</t>
  </si>
  <si>
    <t>Persistence</t>
  </si>
  <si>
    <t>Remediation</t>
  </si>
  <si>
    <t>Success</t>
  </si>
  <si>
    <t>Graduation</t>
  </si>
  <si>
    <t>Rate</t>
  </si>
  <si>
    <t>Institution</t>
  </si>
  <si>
    <t>Def. Prod.</t>
  </si>
  <si>
    <t>Metric</t>
  </si>
  <si>
    <t>FY 2015</t>
  </si>
  <si>
    <t>FY 2012 and 2013</t>
  </si>
  <si>
    <t>FY14 vs FY 13</t>
  </si>
  <si>
    <t>BUDGET REPORT SCHEDULE IX (BRS IX)</t>
  </si>
  <si>
    <t>RESEARCH INSTITUTION EXPENDITURE DATA</t>
  </si>
  <si>
    <t>SUMMARY OF RESEARCH-RELATED EXPENDITURES FOR RESEARCH FOCUSED CAMPUSES</t>
  </si>
  <si>
    <t>A. Total Externally Funded Research Costs (1)</t>
  </si>
  <si>
    <t>1.  Federal Appropriations, Grants and Contracts (2)</t>
  </si>
  <si>
    <t>2.  Industrial Grants and Contracts</t>
  </si>
  <si>
    <t>3.  Private Foundations (3)</t>
  </si>
  <si>
    <t>4.  Institution Foundations/Endowments</t>
  </si>
  <si>
    <t>TOTAL RESEARCH-RELATED EXPENDITURES</t>
  </si>
  <si>
    <t>(1) Includes expenditures of externally-supported research grants and contacts</t>
  </si>
  <si>
    <t>(2) Should exclude ARRA Federal Funds</t>
  </si>
  <si>
    <t>(3) Not affiliated with the institution</t>
  </si>
  <si>
    <t xml:space="preserve"> - Institutions may expand on each subcategory regarding research funding</t>
  </si>
  <si>
    <t xml:space="preserve"> - Applies only to IUB, PUWL, BSU, IUPUI General Academic</t>
  </si>
  <si>
    <t>OPERATING LINE ITEM APPROPRIATIONS</t>
  </si>
  <si>
    <t>UNIVERSITY AND OTHER HIGHER EDUCATION LINE ITEMS</t>
  </si>
  <si>
    <t>2012 Funding</t>
  </si>
  <si>
    <t>2013 Funding</t>
  </si>
  <si>
    <t>REDUCTION</t>
  </si>
  <si>
    <t>BASE</t>
  </si>
  <si>
    <t>NOTES</t>
  </si>
  <si>
    <t>INDIANA UNIVERSITY LINE ITEMS</t>
  </si>
  <si>
    <t>Abilene Network Operations Center</t>
  </si>
  <si>
    <t>State Department of Toxicology</t>
  </si>
  <si>
    <t>Institute for the Study of Developmental Disabilities</t>
  </si>
  <si>
    <t>Geological Survey</t>
  </si>
  <si>
    <t>Local Government Advisory Commission</t>
  </si>
  <si>
    <t>Indiana Innovation Alliance</t>
  </si>
  <si>
    <t>Medical Education Center Expansion</t>
  </si>
  <si>
    <t>Spinal Cord and Head Injury Research</t>
  </si>
  <si>
    <t>I-Light Network Operations</t>
  </si>
  <si>
    <t>Indiana Higher Education Telecommunication Sys. (IHETS)</t>
  </si>
  <si>
    <t>PURDUE UNIVERSITY LINE ITEMS</t>
  </si>
  <si>
    <t>Center for Paralysis Research</t>
  </si>
  <si>
    <t>County Agriculture Extension Educators</t>
  </si>
  <si>
    <t>Animal Disease Diagnostic Lab System</t>
  </si>
  <si>
    <t>Statewide Technology</t>
  </si>
  <si>
    <t>University-Based Business Assistance</t>
  </si>
  <si>
    <t>Agricultural Research and Extension - Crossroads</t>
  </si>
  <si>
    <t>Veterinary Research</t>
  </si>
  <si>
    <t>Wine and Grape Market Fund</t>
  </si>
  <si>
    <t>BALL STATE UNIVERSITY LINE ITEMS</t>
  </si>
  <si>
    <t>Entrepreneurial College</t>
  </si>
  <si>
    <t>College for Sciences, Math and Humanities</t>
  </si>
  <si>
    <t>INDIANA STATE UNIVERSITY LINE ITEMS</t>
  </si>
  <si>
    <t>Nursing Program</t>
  </si>
  <si>
    <t>UNIVERSITY OF SOUTHERN INDIANA LINE ITEMS</t>
  </si>
  <si>
    <t>New Harmony</t>
  </si>
  <si>
    <t>IVY TECH COMMUNITY COLLEGE OF INDIANA LINE ITEMS</t>
  </si>
  <si>
    <t>Valpo Nursing Partnership</t>
  </si>
  <si>
    <t>Fort Wayne Public Safety Training Center</t>
  </si>
  <si>
    <t>STATE BUDGET AGENCY LINE ITEMS</t>
  </si>
  <si>
    <t>Higher Education Fee Replacement</t>
  </si>
  <si>
    <t>Technical Assistasnce and Advanced Manufacturing</t>
  </si>
  <si>
    <t>Core Research</t>
  </si>
  <si>
    <t>GigaPop</t>
  </si>
  <si>
    <t xml:space="preserve"> - Build Indiana Funds</t>
  </si>
  <si>
    <t>South Central Education Alliance</t>
  </si>
  <si>
    <t>Southeast Indiana Educational Services</t>
  </si>
  <si>
    <t>Degree Link</t>
  </si>
  <si>
    <t>Workforce Centers</t>
  </si>
  <si>
    <t>Midwest Higher Education Commission</t>
  </si>
  <si>
    <t>Statutory Fee Remission (CVO Program)</t>
  </si>
  <si>
    <t>21st Century Scholars Administration</t>
  </si>
  <si>
    <t>National Guard Scholarship</t>
  </si>
  <si>
    <t>Hoosier Scholar Program</t>
  </si>
  <si>
    <t>Part-Time Student Grant Distribution</t>
  </si>
  <si>
    <t>Contract for Instructional Oppt in SE Indiana</t>
  </si>
  <si>
    <t>Freedom of Choice Grants</t>
  </si>
  <si>
    <t>Higher Education Award Program</t>
  </si>
  <si>
    <t>21st Century Scholar Awards</t>
  </si>
  <si>
    <t>INDIANA DEPARTMENT OF ADMINISTRATION LINE ITEMS</t>
  </si>
  <si>
    <t>Animal Disease Diagnostic Lab Lease Rental</t>
  </si>
  <si>
    <t>Columbus Learning Center Lease Payment</t>
  </si>
  <si>
    <t>ALL OTHER HIGHER EDUCATION LINE ITEMS</t>
  </si>
  <si>
    <t>Medical Eduation Board</t>
  </si>
  <si>
    <t>Commission for Higher Education</t>
  </si>
  <si>
    <t>Statewide Transfer Website</t>
  </si>
  <si>
    <t>UNIVERSITY LINE ITEMS</t>
  </si>
  <si>
    <t>OTHER HIGHER EDUCATION LINE ITEMS</t>
  </si>
  <si>
    <t>LEASES</t>
  </si>
  <si>
    <t>TOTAL LINE ITEMS</t>
  </si>
  <si>
    <t>Amount Over Base</t>
  </si>
  <si>
    <t>Diff.</t>
  </si>
  <si>
    <t>BSU En. College</t>
  </si>
  <si>
    <t>IU Med Center Expansion</t>
  </si>
  <si>
    <t>FY12</t>
  </si>
  <si>
    <t>FY13</t>
  </si>
  <si>
    <t>15% Red.</t>
  </si>
  <si>
    <t>10% Red.</t>
  </si>
  <si>
    <t>5% Red.</t>
  </si>
  <si>
    <t>0% Red.</t>
  </si>
  <si>
    <t>TOTAL 2013-15 BIENNIUM BUDGET</t>
  </si>
  <si>
    <t>IUPUI Health: Regional Medical Center Allocations</t>
  </si>
  <si>
    <t>IUPUI Health</t>
  </si>
  <si>
    <t>Regional Medical Centers</t>
  </si>
  <si>
    <t>Evansville</t>
  </si>
  <si>
    <t>Fort Wayne</t>
  </si>
  <si>
    <t>Lafayette</t>
  </si>
  <si>
    <t>Muncie</t>
  </si>
  <si>
    <t>Terre Haute</t>
  </si>
  <si>
    <t>TOTAL</t>
  </si>
  <si>
    <t>IUPUI Health Operating Total</t>
  </si>
  <si>
    <t>NOTES:</t>
  </si>
  <si>
    <t>(a) IU requested base adjustment of $2,841,038 to move Optometry back to IUB (taken only from Indy)</t>
  </si>
  <si>
    <t>(b) Ordered by Governor December 2008</t>
  </si>
  <si>
    <t>(c) State Appropriation Base</t>
  </si>
  <si>
    <t>CAPITAL PROJECTS AND FEE REPLACEMENT - PENDING AND NEW</t>
  </si>
  <si>
    <t>1=NO  2=YES</t>
  </si>
  <si>
    <t>Indiana University - Bloomington</t>
  </si>
  <si>
    <t>Indiana University - East</t>
  </si>
  <si>
    <t>Indiana University - Kokomo</t>
  </si>
  <si>
    <t>Indiana University - Northwest</t>
  </si>
  <si>
    <t>Indiana University - South Bend</t>
  </si>
  <si>
    <t>Indiana University - Southeast</t>
  </si>
  <si>
    <t>Purdue University - West Lafayette</t>
  </si>
  <si>
    <t>Purdue University - Calumet</t>
  </si>
  <si>
    <t>Purdue University - North Central</t>
  </si>
  <si>
    <t>Purdue University - IPFW</t>
  </si>
  <si>
    <t>Ivy Tech Community College of Indiana</t>
  </si>
  <si>
    <t>ITCCI Anderson</t>
  </si>
  <si>
    <t>ITCCI Bloomington</t>
  </si>
  <si>
    <t>ITCCI Gary</t>
  </si>
  <si>
    <t>Current Fee Replacement</t>
  </si>
  <si>
    <t>APPROPRIATED</t>
  </si>
  <si>
    <t>SBA</t>
  </si>
  <si>
    <t>Updated Fee Replacement</t>
  </si>
  <si>
    <t xml:space="preserve"> - All Projects are approved</t>
  </si>
  <si>
    <t xml:space="preserve"> - Only Pending and New Projects</t>
  </si>
  <si>
    <t>COMMISSION FOR HIGHER EDUCATION</t>
  </si>
  <si>
    <t>Base Reductions</t>
  </si>
  <si>
    <t>Perf. Funding Form. and Other Ajdst.</t>
  </si>
  <si>
    <t>BLOOMINGTON</t>
  </si>
  <si>
    <t xml:space="preserve">   Operating</t>
  </si>
  <si>
    <t xml:space="preserve">    Fee Replacement</t>
  </si>
  <si>
    <t xml:space="preserve">    Repair and Rehabilitation</t>
  </si>
  <si>
    <t>EAST</t>
  </si>
  <si>
    <t>KOKOMO</t>
  </si>
  <si>
    <t>NORTHWEST</t>
  </si>
  <si>
    <t>SOUTH BEND</t>
  </si>
  <si>
    <t>SOUTHEAST</t>
  </si>
  <si>
    <t>HIGHER EDUCATION LINE ITEMS</t>
  </si>
  <si>
    <t>Total Indiana University Operating</t>
  </si>
  <si>
    <t>TOTAL INDIANA UNIVERSITY</t>
  </si>
  <si>
    <t>PURDUE UNIVERSITY</t>
  </si>
  <si>
    <t>WEST LAFAYETTE</t>
  </si>
  <si>
    <t>CALUMET</t>
  </si>
  <si>
    <t>NORTH CENTRAL</t>
  </si>
  <si>
    <t>Total Purdue University Operating</t>
  </si>
  <si>
    <t>TOTAL PURDUE UNIVERSITY</t>
  </si>
  <si>
    <t>INDIANA STATE UNIVERSITY</t>
  </si>
  <si>
    <t>TOTAL INDIANA STATE UNIVERSITY</t>
  </si>
  <si>
    <t>UNIV. OF SOUTHERN INDIANA</t>
  </si>
  <si>
    <t>TOTAL UNIV. SOUTHERN INDIANA</t>
  </si>
  <si>
    <t>BALL STATE UNIVERSITY</t>
  </si>
  <si>
    <t>TOTAL BALL STATE UNIVERSITY</t>
  </si>
  <si>
    <t>VINCENNES UNIVERSITY</t>
  </si>
  <si>
    <t>TOTAL VINCENNES UNIVERSITY</t>
  </si>
  <si>
    <t>IVY TECH COMMUNITY COLLEGE OF INDIANA</t>
  </si>
  <si>
    <t>TOTAL ITCCI</t>
  </si>
  <si>
    <t>CHE</t>
  </si>
  <si>
    <t>MED ED BOARD</t>
  </si>
  <si>
    <t>IDOA</t>
  </si>
  <si>
    <t>.</t>
  </si>
  <si>
    <t>OPERATING</t>
  </si>
  <si>
    <t>FEE REPLACMENT</t>
  </si>
  <si>
    <t>REPAIR AND REHAB</t>
  </si>
  <si>
    <t>LINE ITEMS</t>
  </si>
  <si>
    <t>Line Item Funding:</t>
  </si>
  <si>
    <t>2013-15 HIGHER EDUCATION BUDGET SUMMARY</t>
  </si>
  <si>
    <t xml:space="preserve"> - Dedicated Fund</t>
  </si>
  <si>
    <t>BIENNIUM BUDGET 2013-15</t>
  </si>
  <si>
    <t>2013-15 New Capital Projects</t>
  </si>
  <si>
    <t>Previously Authorized Capital Projects</t>
  </si>
  <si>
    <t>USI Classroom Renovation/Expansion</t>
  </si>
  <si>
    <t>R&amp;R</t>
  </si>
  <si>
    <t>Infrastructure</t>
  </si>
  <si>
    <t>University</t>
  </si>
  <si>
    <t>R&amp;R Asset Total</t>
  </si>
  <si>
    <t>Infrastructure Asset Total</t>
  </si>
  <si>
    <t>Annual R&amp;R</t>
  </si>
  <si>
    <t>Annual Infrastructure</t>
  </si>
  <si>
    <t>Annual Total</t>
  </si>
  <si>
    <t>Biennal R&amp;R</t>
  </si>
  <si>
    <t>Biennial Infrastructure</t>
  </si>
  <si>
    <t>Biennial Total</t>
  </si>
  <si>
    <t>IU TOTALS</t>
  </si>
  <si>
    <t>PU TOTALS</t>
  </si>
  <si>
    <t>GRAND TOTALS</t>
  </si>
  <si>
    <t>2012-13 Appropriation</t>
  </si>
  <si>
    <t>% Change 2013 to 2014 Approp.</t>
  </si>
  <si>
    <t>% Change 2013 to 2014 Actual</t>
  </si>
  <si>
    <t>% Change 2013 to 2015 Actual</t>
  </si>
  <si>
    <t>2013-15 New Capital Projects*</t>
  </si>
  <si>
    <t>* Figures based on University Submission</t>
  </si>
  <si>
    <t xml:space="preserve">   Equity Adjustment</t>
  </si>
  <si>
    <t>ISU Life Science/Chemistry Lab Renovation Phase II</t>
  </si>
  <si>
    <t>ISU Normal Hall</t>
  </si>
  <si>
    <t>ISU Arena Building Phase I</t>
  </si>
  <si>
    <t>Repair and Rehabilitation Formula Funding - 2013-15 Biennium</t>
  </si>
  <si>
    <t>2013-2015 CHE R&amp;R Formula - TOTAL</t>
  </si>
  <si>
    <t>VU Aviation Technology Center Rehabilitation</t>
  </si>
  <si>
    <t>VU Infrastructure Project (Electrical/Steamline Replacement)</t>
  </si>
  <si>
    <t>VU New Science Building</t>
  </si>
  <si>
    <t>VINCENNES UNIVERSITY LINE ITEMS</t>
  </si>
  <si>
    <t>Career and Technical Early Colleges</t>
  </si>
  <si>
    <t xml:space="preserve">   Operating Adjustment</t>
  </si>
  <si>
    <t>2014 Budget Submission</t>
  </si>
  <si>
    <t>2015 Buget Submission</t>
  </si>
  <si>
    <t>ITCCI Indianapolis Fall Creek Expansion (Balance of Auth)</t>
  </si>
  <si>
    <t>ITCCI Greencastle Addition</t>
  </si>
  <si>
    <t>ITCCI Columbus Addition and Renovation</t>
  </si>
  <si>
    <t>ITCCI Kokomo New Construction and Renovation</t>
  </si>
  <si>
    <t>ITCCI Muncie New Construction and Renovation</t>
  </si>
  <si>
    <t>ITCCI Lafayette Enterprise Center</t>
  </si>
  <si>
    <t>ITCCI Sellersburg Science and Health Services Center</t>
  </si>
  <si>
    <t>ITCCI Evansville New Campus</t>
  </si>
  <si>
    <t>ITCCI Indianapolis New Construction and Renovation</t>
  </si>
  <si>
    <t>ITCCI Michigan City Addition and Renovation</t>
  </si>
  <si>
    <t>BSU Geothermal Phase II</t>
  </si>
  <si>
    <t>BSU College of Architecture &amp; Planning Building Renovation</t>
  </si>
  <si>
    <t>BSU Expansion of Tunnel Utility Systems</t>
  </si>
  <si>
    <t>PURDUE UNIVERSITY - WEST LAFAYETTE</t>
  </si>
  <si>
    <t>IN-MaC (IN Next Generation Manufacturing Compet. Center)</t>
  </si>
  <si>
    <t>PUWL Animal Disease Diagnostic Laboratory (BSL-3)</t>
  </si>
  <si>
    <t>PUWL Active Learning Center</t>
  </si>
  <si>
    <t>PUC Emerging Technologies Building (aka Gyte A&amp;E)</t>
  </si>
  <si>
    <t>PUC Emerging Technologies Building</t>
  </si>
  <si>
    <t>IPFW Northeast Indiana Innovation Center</t>
  </si>
  <si>
    <t>IPFW South Campus Renovations</t>
  </si>
  <si>
    <t>PUNC Student Services and Activities Complex</t>
  </si>
  <si>
    <t>PUNC Student Services and Activities Complex Planning Funds</t>
  </si>
  <si>
    <t>IU SOMD</t>
  </si>
  <si>
    <t>INDIANA UNIVERSITY - BLOOMINGTON</t>
  </si>
  <si>
    <t>TOTAL ALL RESEARCH INSTITUTIONS</t>
  </si>
  <si>
    <t>Optometry Board Eduation Fund</t>
  </si>
  <si>
    <t>IUB Academic Core Renovations Phase I</t>
  </si>
  <si>
    <t>IUB Campus Utility Infrastructure Repairs</t>
  </si>
  <si>
    <t>IUB Wells Library Renovation Phase I</t>
  </si>
  <si>
    <t>IUB Ernie Pyle Hall Renovation</t>
  </si>
  <si>
    <t>IUB School of Informatics Building</t>
  </si>
  <si>
    <t>IUB Multidisciplinary Science Building Phase III</t>
  </si>
  <si>
    <t>IUN Tamarck Hall Replacement</t>
  </si>
  <si>
    <t>IUS Education and Technology Building</t>
  </si>
  <si>
    <t>IUPUI VanNuys Medical Science Lab Renovation Phase IV</t>
  </si>
  <si>
    <t>IUPUI Emerson Hall</t>
  </si>
  <si>
    <t>IUPUI Taylor Hall Renovation</t>
  </si>
  <si>
    <t>IUPUI Science &amp; Engineering Lab Building Phase II</t>
  </si>
  <si>
    <t xml:space="preserve"> - No Cash Approp of $350K</t>
  </si>
  <si>
    <t>ALL GENERAL FUND</t>
  </si>
  <si>
    <t>ALL DEDCIATED FUNDS</t>
  </si>
  <si>
    <t>Board of Propreitary Education</t>
  </si>
  <si>
    <t>2013 Appropriated</t>
  </si>
  <si>
    <t>2013 Projected</t>
  </si>
  <si>
    <t>TOTAL HIGHER EDUCATION GF BUDGET</t>
  </si>
  <si>
    <t>TOTAL ALL FUNDS</t>
  </si>
  <si>
    <t>% Change 2013 to 2015 Approp.</t>
  </si>
  <si>
    <t>Adjusted Base</t>
  </si>
  <si>
    <t>OPERATING/EQUITY ADJUSTMENTS</t>
  </si>
  <si>
    <t>IU Regional Campus wide Projects</t>
  </si>
  <si>
    <t>ITCCI South Bend Health Sciences Building</t>
  </si>
  <si>
    <t>BSU STEM and Health Facilities Renovation &amp; Expansion Phase I</t>
  </si>
  <si>
    <t>BSU Central Campus Academic &amp; Utility Improvements Phase II B</t>
  </si>
  <si>
    <t xml:space="preserve"> - PU does not want FR for project, may repeal authorization</t>
  </si>
  <si>
    <t>Priority Ranking</t>
  </si>
  <si>
    <t>Project Cost</t>
  </si>
  <si>
    <t xml:space="preserve"> - Difference from 2013 Approp</t>
  </si>
  <si>
    <t>No Rank</t>
  </si>
  <si>
    <t>2007-2009 Avg</t>
  </si>
  <si>
    <t>2010-2012 Avg</t>
  </si>
  <si>
    <t>3 Year Avg Chg</t>
  </si>
  <si>
    <t>State Contribution based on 3 Year Averages @ 50%</t>
  </si>
  <si>
    <t>State Contribution based on 2011 Act @ 50%</t>
  </si>
  <si>
    <t>POTENTIAL DUAL CREDIT FUNDING FOR HIGHER ED 2013-15</t>
  </si>
  <si>
    <t>Campus</t>
  </si>
  <si>
    <t>FTE</t>
  </si>
  <si>
    <t>Funding @ $50/CH</t>
  </si>
  <si>
    <t>Funding @ $35/CH</t>
  </si>
  <si>
    <t>Funding @ $25/CH</t>
  </si>
  <si>
    <t>Indiana University-Bloomington</t>
  </si>
  <si>
    <t>Indiana University-East</t>
  </si>
  <si>
    <t>Indiana University-Kokomo</t>
  </si>
  <si>
    <t>Indiana University-Northwest</t>
  </si>
  <si>
    <t>Indiana University-Purdue University-Fort Wayne</t>
  </si>
  <si>
    <t>Indiana University-Purdue University-Indianapolis</t>
  </si>
  <si>
    <t>Indiana University-South Bend</t>
  </si>
  <si>
    <t>Indiana University-Southeast</t>
  </si>
  <si>
    <t>Purdue University-Calumet Campus</t>
  </si>
  <si>
    <t>Purdue University-North Central Campus</t>
  </si>
  <si>
    <t>Purdue University-West Lafayette Campus</t>
  </si>
  <si>
    <t>University Of Southern Indiana</t>
  </si>
  <si>
    <t>Vincennes University - Vincennes</t>
  </si>
  <si>
    <t>T+HP Total Credits Earned*</t>
  </si>
  <si>
    <t xml:space="preserve">*2010-11 Earned CT and Priority Level Dual Credit </t>
  </si>
  <si>
    <t>Data provided by SIS and Molly Chamberlin</t>
  </si>
  <si>
    <t>Indiana Higher Education Budget 2013-15</t>
  </si>
  <si>
    <t>2013 Appropriation</t>
  </si>
  <si>
    <t>Adjustment</t>
  </si>
  <si>
    <t>2014 Appropriation</t>
  </si>
  <si>
    <t>2015 Appropriation</t>
  </si>
  <si>
    <t>TOTAL GENERAL FUND</t>
  </si>
  <si>
    <t>TOTAL HE BUDGET</t>
  </si>
  <si>
    <t xml:space="preserve">IHE Operating </t>
  </si>
  <si>
    <t>IHE Debt Service</t>
  </si>
  <si>
    <t>IHE Repair and Rehab</t>
  </si>
  <si>
    <t>IHE Line Items</t>
  </si>
  <si>
    <t>State Financial Aid Support</t>
  </si>
  <si>
    <t>Other Higher Ed Line Items</t>
  </si>
  <si>
    <t>Other Dedicated Funds</t>
  </si>
  <si>
    <t>$ Change from 2013 Proj to 2014</t>
  </si>
  <si>
    <t>$ Change from 2013 Proj to 2015</t>
  </si>
  <si>
    <t>% Change from 2013 Proj to 2014</t>
  </si>
  <si>
    <t>% Change from 2013 Proj to 2015</t>
  </si>
  <si>
    <t>2013 Proj Budget/Base</t>
  </si>
  <si>
    <t>IUPUI (1)</t>
  </si>
  <si>
    <t xml:space="preserve">IUPUI  </t>
  </si>
  <si>
    <t>IU Dual Credit</t>
  </si>
  <si>
    <t>IU State Research Support</t>
  </si>
  <si>
    <t xml:space="preserve"> - Based on 2011 DC Enrollment for all IU Campuses</t>
  </si>
  <si>
    <t>PU Dual Credit</t>
  </si>
  <si>
    <t>PU State Research Support</t>
  </si>
  <si>
    <t>BSU Dual Credit</t>
  </si>
  <si>
    <t>ISU Dual Credit</t>
  </si>
  <si>
    <t>USI Dual Credit</t>
  </si>
  <si>
    <t>VU Dual Credit</t>
  </si>
  <si>
    <t>Ivy Tech Dual Credit</t>
  </si>
  <si>
    <t>BSU State Research Support</t>
  </si>
  <si>
    <t>Assumed cost to IHE for Research Exp (25%)</t>
  </si>
  <si>
    <t>Debt Service Funding Comparison for All Campuses</t>
  </si>
  <si>
    <t>Operating Funding Comparison for All Campuses</t>
  </si>
  <si>
    <t>FUNDING - DEBT SERVICE STATE APPROPRIATIONS (1)</t>
  </si>
  <si>
    <t>(1)   As passed appropriations for debt service funds only. Does not include IU SOMD debt service</t>
  </si>
  <si>
    <t xml:space="preserve">  OPS</t>
  </si>
  <si>
    <t xml:space="preserve">  FR</t>
  </si>
  <si>
    <t>ITTCI</t>
  </si>
  <si>
    <t>IU Total</t>
  </si>
  <si>
    <t>IUPUI H &amp; GA Only</t>
  </si>
  <si>
    <t>IU w/o IUPUI</t>
  </si>
  <si>
    <t xml:space="preserve">   OPS</t>
  </si>
  <si>
    <t xml:space="preserve">   FR</t>
  </si>
  <si>
    <t>PU Total</t>
  </si>
  <si>
    <t>Note: IUPUI - H Operting Budgtet does includes regional med centers</t>
  </si>
  <si>
    <t>DRAFT BUDGET</t>
  </si>
  <si>
    <t>Earn Indiana (formerly College Work Study Program)</t>
  </si>
  <si>
    <t>Higher Ed w/o Student Financial Aid</t>
  </si>
  <si>
    <t>R&amp;R and Debt Service Combined</t>
  </si>
  <si>
    <t>Note:  Ivy Tech, Indiana State and USI ranked R&amp;R funding last.  VU ranked R&amp;R funding first.  IU and BSU did not rank R&amp;R funding.  PU ranked R&amp;R funding 2nd from last.</t>
  </si>
  <si>
    <t>Fund or Not Fund</t>
  </si>
  <si>
    <t>1 Yes - 2 No</t>
  </si>
  <si>
    <t>Amount of R&amp;R</t>
  </si>
  <si>
    <t xml:space="preserve"> - Two separate authorizations of $10.5M</t>
  </si>
  <si>
    <t>Actual R&amp;R Funding Total</t>
  </si>
  <si>
    <t xml:space="preserve"> - IUSOM Only</t>
  </si>
  <si>
    <t xml:space="preserve"> - Split FR 18.3% for IUSOMD and 81.7% for IUPUI</t>
  </si>
  <si>
    <t xml:space="preserve"> - Split FR 18.3% for IUSOMD and 81.7% for IUPUI (Rotary Building charged entirely to IUSOMD)</t>
  </si>
  <si>
    <t>General Fund Only</t>
  </si>
  <si>
    <t>Dedicated Funds Only</t>
  </si>
  <si>
    <t xml:space="preserve"> - Based on 2011 DC Enrollment for all PU Campuses</t>
  </si>
  <si>
    <t xml:space="preserve"> - Based on 2011 DC Enrollment</t>
  </si>
  <si>
    <t>Total CHE Admin</t>
  </si>
  <si>
    <t>$ and % Change 2015 to Base</t>
  </si>
  <si>
    <t>Note:  All Dedicated funds are in line item appropriations.  Located in State Budget Agency, Indiana and Purdue Universities</t>
  </si>
  <si>
    <t>Higer Ed Ops and R&amp;R Combined</t>
  </si>
  <si>
    <t>Higher Education % of Total State Budget</t>
  </si>
  <si>
    <t xml:space="preserve"> - Assumptions:</t>
  </si>
  <si>
    <t>2014 Proj.</t>
  </si>
  <si>
    <t>2015 Proj.</t>
  </si>
  <si>
    <t>University Operating versus Debt (Ratio) 2000-2015</t>
  </si>
  <si>
    <t>CVO</t>
  </si>
  <si>
    <t>NAT GUARD</t>
  </si>
  <si>
    <t>NURSING</t>
  </si>
  <si>
    <t>MINORITY</t>
  </si>
  <si>
    <t>WORK STUDY</t>
  </si>
  <si>
    <t>PART TIME</t>
  </si>
  <si>
    <r>
      <t xml:space="preserve"> - BSU will request as new project, still have $3.1M of bonding authority left, </t>
    </r>
    <r>
      <rPr>
        <b/>
        <sz val="10"/>
        <rFont val="Calibri"/>
        <family val="2"/>
        <scheme val="minor"/>
      </rPr>
      <t>Recommend at $30M</t>
    </r>
  </si>
  <si>
    <r>
      <t xml:space="preserve"> -</t>
    </r>
    <r>
      <rPr>
        <b/>
        <sz val="10"/>
        <rFont val="Calibri"/>
        <family val="2"/>
        <scheme val="minor"/>
      </rPr>
      <t xml:space="preserve"> Fund at $50M</t>
    </r>
    <r>
      <rPr>
        <sz val="10"/>
        <rFont val="Calibri"/>
        <family val="2"/>
        <scheme val="minor"/>
      </rPr>
      <t>, would represent 56% of project cost</t>
    </r>
  </si>
  <si>
    <t xml:space="preserve"> - Keeps PFF new money the same each year, focuses on 3.5% increase in funding</t>
  </si>
  <si>
    <t xml:space="preserve"> - Build Indiana Fund, No Increase</t>
  </si>
  <si>
    <t xml:space="preserve"> - Dedicated Fund, No Increase</t>
  </si>
  <si>
    <t>BRS X-C</t>
  </si>
  <si>
    <t>Total Oustanding Debt - Fee Replacement Debt ONLY</t>
  </si>
  <si>
    <t>IUPUI - TOTAL</t>
  </si>
  <si>
    <t xml:space="preserve">TOTAL ALL IHE </t>
  </si>
  <si>
    <t>CURRENT OUTSTANDING DEBT</t>
  </si>
  <si>
    <t>POTENTIAL TOTAL OUTSTANDING DEBT</t>
  </si>
  <si>
    <t>POTENTIAL NEW DEBT ISSUED FOR STATE FUNDED PROJECTS</t>
  </si>
  <si>
    <t>Total State GF Ops Budget (held flat from 2013)</t>
  </si>
  <si>
    <t>USI TeachingTheatre</t>
  </si>
  <si>
    <t>USI (Adjusted both new projects to reflect different ammortization schedule)</t>
  </si>
  <si>
    <t xml:space="preserve"> - Fund one building, split $42.7M in half</t>
  </si>
  <si>
    <t>IU SOMD Laboratory Building Expansion</t>
  </si>
  <si>
    <t xml:space="preserve"> - Currently has appropriate space for enrollment, long term runs short</t>
  </si>
  <si>
    <t>BSU Geothermal Phase I Remaining Authority</t>
  </si>
  <si>
    <t xml:space="preserve"> - Assumes using remaining authorization for Geothermal Project</t>
  </si>
  <si>
    <t>Learn More Indiana</t>
  </si>
  <si>
    <t>2 Yr Avg</t>
  </si>
  <si>
    <t>4 Yr Avg</t>
  </si>
  <si>
    <t>SFA</t>
  </si>
  <si>
    <t xml:space="preserve"> - Research Campuses include:  IUB, IUPUI, PUWL and BSU</t>
  </si>
  <si>
    <t xml:space="preserve"> - 4 Year Comprehensive Campuses include:  IUE, IUK, IUS, IUSB, IUN, PUNC, PUC, IPFW, USI, ISU</t>
  </si>
  <si>
    <t xml:space="preserve"> - 2 Year Campuses include:  VU and Ivy Tech</t>
  </si>
  <si>
    <t>STUDENT FINANCIAL AID LINE ITEMS</t>
  </si>
  <si>
    <t>SFA Administration</t>
  </si>
  <si>
    <t>SFA LINE ITEMS</t>
  </si>
  <si>
    <t>Nursing Scholarship (Change to Student Teaching Stipend)</t>
  </si>
  <si>
    <t xml:space="preserve"> - Funded through competative grant</t>
  </si>
  <si>
    <t>Southern Indiana Education Alliance</t>
  </si>
  <si>
    <t xml:space="preserve"> - Build Indiana Funds </t>
  </si>
  <si>
    <t>Minority Teacher Scholarship</t>
  </si>
  <si>
    <t xml:space="preserve"> - Keeps R&amp;R portion from 2013 in operating, does not move R&amp;R as base adjustment</t>
  </si>
  <si>
    <t xml:space="preserve"> - Keeps Ops levels with 2013 R&amp;R for PFF allocation purposes</t>
  </si>
  <si>
    <t xml:space="preserve"> - R&amp;R funded, but at 50% of total, assumes other 50% in operating base</t>
  </si>
  <si>
    <t xml:space="preserve"> - Assumes enrollment flat from 2011 to 2015 for funding per FTE calcs</t>
  </si>
  <si>
    <t xml:space="preserve"> - 12/14 CHE Recommendation did not include BSU Phase I remaining funds, figure is adjusted by $264K</t>
  </si>
  <si>
    <t>High Need Student Tecahing Stipend</t>
  </si>
  <si>
    <t>Postsecondary Proprietary Inst. Accred</t>
  </si>
  <si>
    <t>Career College Assurance</t>
  </si>
  <si>
    <t xml:space="preserve"> - Dedicated Funds</t>
  </si>
  <si>
    <t>HWM Add</t>
  </si>
  <si>
    <t xml:space="preserve"> - IUN requested $33M, reduced and will be one project $45M total, all funded through IUN</t>
  </si>
  <si>
    <t xml:space="preserve"> - ITCCI requested $20M, reduced and will be one project $45M total funded through IUN</t>
  </si>
  <si>
    <t>CASH</t>
  </si>
  <si>
    <t xml:space="preserve">   Capital Project (Cash)</t>
  </si>
  <si>
    <t>CAPITAL PROJECTS (CASH)</t>
  </si>
  <si>
    <t>IHE Capital Projects (Cash)</t>
  </si>
  <si>
    <t>21st Century Research and Technology Fund (IEDC Funding)</t>
  </si>
  <si>
    <t>Minority Student Teaching Stipend (New)</t>
  </si>
  <si>
    <t>5.5% PFF Allocation FY 2014</t>
  </si>
  <si>
    <t>5.5% PFF Allocation FY 2015</t>
  </si>
  <si>
    <t>IU SOMD (1)*</t>
  </si>
  <si>
    <t>* IU School of Medicine and Dentistry not considered in the PFF.  Adjustment in PFF Allocation column represents a flat 3.5% increase to the 2013 appropriation</t>
  </si>
  <si>
    <t xml:space="preserve"> - Added by Sen Approp Cmte 4-4-13</t>
  </si>
  <si>
    <t>ITCCI Hamilton County Facility</t>
  </si>
  <si>
    <t>Principal Leadership Academy</t>
  </si>
  <si>
    <t>Senate Changes:</t>
  </si>
  <si>
    <t xml:space="preserve"> - Adds 3.5% to IUSMD operating</t>
  </si>
  <si>
    <t xml:space="preserve"> - Includes FR for PUNC Student Services Center</t>
  </si>
  <si>
    <t xml:space="preserve"> - Adds $4M per year to BSU Entreprenuerial College</t>
  </si>
  <si>
    <t xml:space="preserve"> - Overall a 3.5% increase by the Sen Approp Cmte, spread throughout each IUSMD RMC and IUPUI</t>
  </si>
  <si>
    <t>Sen Approp Add</t>
  </si>
  <si>
    <t xml:space="preserve"> - Keeps PFF Allocation at 6.0% per year</t>
  </si>
  <si>
    <t>6% PFF Allocation</t>
  </si>
  <si>
    <t>Pool (6%)</t>
  </si>
  <si>
    <t xml:space="preserve"> - New Line Item</t>
  </si>
  <si>
    <t>Primary Care Shortage Area Scholarship</t>
  </si>
  <si>
    <t>IU Evansville Medical Education Center A&amp;E</t>
  </si>
  <si>
    <t xml:space="preserve"> - Includes Cash Funding for Ivy Tech Hamilton County Facility, VU Infrastructure and IU Evansville Med A&amp;E</t>
  </si>
  <si>
    <t xml:space="preserve"> - Adds $1M per year to PUWL Ag Research</t>
  </si>
  <si>
    <t xml:space="preserve"> - Adds $2.5 per year for PUWL INMAC</t>
  </si>
  <si>
    <t xml:space="preserve"> - Adds $1M and $2M for Primary Care Shortage for SFA</t>
  </si>
  <si>
    <t xml:space="preserve"> - New Grant Program (Marian University Only)</t>
  </si>
  <si>
    <t xml:space="preserve"> - Funded through the IEDC and the 21st Cent R&amp;T Fund (Indiana University Only)</t>
  </si>
  <si>
    <t>IPFW Academic Support Program</t>
  </si>
  <si>
    <t xml:space="preserve"> - New Line Item for IPFW Only</t>
  </si>
  <si>
    <t>Full-time Faculty Support</t>
  </si>
  <si>
    <t>HB 1001 CCR #3  4-26-13</t>
  </si>
  <si>
    <t>HB 1001 As-Passed 5-8-13</t>
  </si>
  <si>
    <t>HB 1001 - As-Passed 5-8-13</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</si>
</sst>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0_);\(#,##0.0\)"/>
    <numFmt numFmtId="168" formatCode="#,##0.0"/>
    <numFmt numFmtId="169" formatCode="#,##0.0_);[Red]\(#,##0.0\)"/>
    <numFmt numFmtId="170" formatCode="0.0"/>
    <numFmt numFmtId="171" formatCode="&quot;$&quot;#,##0"/>
    <numFmt numFmtId="172" formatCode="&quot;$&quot;#,##0.00"/>
    <numFmt numFmtId="173" formatCode="0.000"/>
    <numFmt numFmtId="174" formatCode="_(* #,##0.0_);_(* \(#,##0.0\);_(* &quot;-&quot;??_);_(@_)"/>
    <numFmt numFmtId="175" formatCode="0.000%"/>
    <numFmt numFmtId="176" formatCode="_(* #,##0.00000_);_(* \(#,##0.00000\);_(* &quot;-&quot;??_);_(@_)"/>
    <numFmt numFmtId="177" formatCode="0.0000%"/>
    <numFmt numFmtId="178" formatCode="[$-F800]dddd\,\ mmmm\ dd\,\ yyyy"/>
    <numFmt numFmtId="179" formatCode="_(&quot;$&quot;* #,##0.0_);_(&quot;$&quot;* \(#,##0.0\);_(&quot;$&quot;* &quot;-&quot;??_);_(@_)"/>
  </numFmts>
  <fonts count="6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System"/>
      <family val="2"/>
    </font>
    <font>
      <b/>
      <sz val="10"/>
      <name val="Times New Roman"/>
      <family val="1"/>
    </font>
    <font>
      <b/>
      <u/>
      <sz val="10"/>
      <name val="Times New Roman"/>
      <family val="1"/>
    </font>
    <font>
      <sz val="10"/>
      <name val="Arial"/>
      <family val="2"/>
    </font>
    <font>
      <sz val="10"/>
      <name val="Times New Roman"/>
      <family val="1"/>
    </font>
    <font>
      <sz val="10"/>
      <name val="Geneva"/>
    </font>
    <font>
      <sz val="12"/>
      <name val="Times New Roman"/>
      <family val="1"/>
    </font>
    <font>
      <sz val="10"/>
      <name val="Arial"/>
      <family val="2"/>
    </font>
    <font>
      <b/>
      <sz val="8"/>
      <name val="Times New Roman"/>
      <family val="1"/>
    </font>
    <font>
      <sz val="8"/>
      <name val="Times New Roman"/>
      <family val="1"/>
    </font>
    <font>
      <i/>
      <sz val="8"/>
      <name val="Times New Roman"/>
      <family val="1"/>
    </font>
    <font>
      <sz val="10"/>
      <color theme="1"/>
      <name val="Times New Roman"/>
      <family val="1"/>
    </font>
    <font>
      <i/>
      <sz val="10"/>
      <color rgb="FFFF0000"/>
      <name val="Times New Roman"/>
      <family val="1"/>
    </font>
    <font>
      <sz val="10"/>
      <color rgb="FFFF0000"/>
      <name val="Times New Roman"/>
      <family val="1"/>
    </font>
    <font>
      <sz val="11"/>
      <color indexed="8"/>
      <name val="Calibri"/>
      <family val="2"/>
    </font>
    <font>
      <sz val="12"/>
      <color theme="1"/>
      <name val="Futura Lt BT"/>
      <family val="2"/>
    </font>
    <font>
      <b/>
      <i/>
      <sz val="8"/>
      <name val="Times New Roman"/>
      <family val="1"/>
    </font>
    <font>
      <sz val="10"/>
      <color indexed="8"/>
      <name val="Arial"/>
      <family val="2"/>
    </font>
    <font>
      <i/>
      <sz val="10"/>
      <name val="Times New Roman"/>
      <family val="1"/>
    </font>
    <font>
      <b/>
      <sz val="10"/>
      <name val="Calibri"/>
      <family val="2"/>
      <scheme val="minor"/>
    </font>
    <font>
      <sz val="10"/>
      <name val="Calibri"/>
      <family val="2"/>
      <scheme val="minor"/>
    </font>
    <font>
      <b/>
      <sz val="12"/>
      <name val="Calibri"/>
      <family val="2"/>
      <scheme val="minor"/>
    </font>
    <font>
      <b/>
      <u/>
      <sz val="10"/>
      <name val="Calibri"/>
      <family val="2"/>
      <scheme val="minor"/>
    </font>
    <font>
      <i/>
      <sz val="10"/>
      <name val="Calibri"/>
      <family val="2"/>
      <scheme val="minor"/>
    </font>
    <font>
      <sz val="12"/>
      <name val="Calibri"/>
      <family val="2"/>
      <scheme val="minor"/>
    </font>
    <font>
      <sz val="8"/>
      <color rgb="FFFF0000"/>
      <name val="Calibri"/>
      <family val="2"/>
      <scheme val="minor"/>
    </font>
    <font>
      <b/>
      <sz val="8"/>
      <color rgb="FFFF0000"/>
      <name val="Calibri"/>
      <family val="2"/>
      <scheme val="minor"/>
    </font>
    <font>
      <i/>
      <sz val="8"/>
      <name val="Calibri"/>
      <family val="2"/>
      <scheme val="minor"/>
    </font>
    <font>
      <b/>
      <sz val="10"/>
      <color theme="1"/>
      <name val="Calibri"/>
      <family val="2"/>
      <scheme val="minor"/>
    </font>
    <font>
      <sz val="10"/>
      <color theme="1"/>
      <name val="Calibri"/>
      <family val="2"/>
      <scheme val="minor"/>
    </font>
    <font>
      <b/>
      <sz val="11"/>
      <color theme="1"/>
      <name val="Calibri"/>
      <family val="2"/>
      <scheme val="minor"/>
    </font>
    <font>
      <b/>
      <sz val="16"/>
      <color theme="1"/>
      <name val="Calibri"/>
      <family val="2"/>
      <scheme val="minor"/>
    </font>
    <font>
      <sz val="16"/>
      <color theme="1"/>
      <name val="Calibri"/>
      <family val="2"/>
      <scheme val="minor"/>
    </font>
    <font>
      <b/>
      <sz val="14"/>
      <color theme="1"/>
      <name val="Calibri"/>
      <family val="2"/>
      <scheme val="minor"/>
    </font>
    <font>
      <sz val="14"/>
      <color theme="1"/>
      <name val="Calibri"/>
      <family val="2"/>
      <scheme val="minor"/>
    </font>
    <font>
      <sz val="9"/>
      <color indexed="81"/>
      <name val="Tahoma"/>
      <family val="2"/>
    </font>
    <font>
      <b/>
      <sz val="9"/>
      <color indexed="81"/>
      <name val="Tahoma"/>
      <family val="2"/>
    </font>
    <font>
      <b/>
      <i/>
      <sz val="10"/>
      <name val="Calibri"/>
      <family val="2"/>
      <scheme val="minor"/>
    </font>
    <font>
      <sz val="8"/>
      <name val="Calibri"/>
      <family val="2"/>
      <scheme val="minor"/>
    </font>
    <font>
      <b/>
      <sz val="10"/>
      <color rgb="FFFF0000"/>
      <name val="Calibri"/>
      <family val="2"/>
      <scheme val="minor"/>
    </font>
    <font>
      <b/>
      <u/>
      <sz val="10"/>
      <color theme="1"/>
      <name val="Calibri"/>
      <family val="2"/>
      <scheme val="minor"/>
    </font>
    <font>
      <b/>
      <sz val="11"/>
      <name val="Calibri"/>
      <family val="2"/>
      <scheme val="minor"/>
    </font>
    <font>
      <sz val="11"/>
      <name val="Calibri"/>
      <family val="2"/>
      <scheme val="minor"/>
    </font>
    <font>
      <i/>
      <sz val="11"/>
      <color theme="1"/>
      <name val="Calibri"/>
      <family val="2"/>
      <scheme val="minor"/>
    </font>
    <font>
      <b/>
      <u/>
      <sz val="11"/>
      <name val="Calibri"/>
      <family val="2"/>
      <scheme val="minor"/>
    </font>
    <font>
      <b/>
      <u val="singleAccounting"/>
      <sz val="10"/>
      <name val="Calibri"/>
      <family val="2"/>
      <scheme val="minor"/>
    </font>
    <font>
      <b/>
      <i/>
      <sz val="11"/>
      <color theme="1"/>
      <name val="Calibri"/>
      <family val="2"/>
      <scheme val="minor"/>
    </font>
    <font>
      <b/>
      <sz val="10"/>
      <name val="Arial"/>
      <family val="2"/>
    </font>
    <font>
      <b/>
      <sz val="14"/>
      <name val="Arial"/>
      <family val="2"/>
    </font>
    <font>
      <sz val="12"/>
      <name val="Arial"/>
      <family val="2"/>
    </font>
    <font>
      <b/>
      <u/>
      <sz val="10"/>
      <name val="Arial"/>
      <family val="2"/>
    </font>
    <font>
      <sz val="8"/>
      <name val="Arial"/>
      <family val="2"/>
    </font>
    <font>
      <sz val="9"/>
      <name val="Times New Roman"/>
      <family val="1"/>
    </font>
  </fonts>
  <fills count="25">
    <fill>
      <patternFill patternType="none"/>
    </fill>
    <fill>
      <patternFill patternType="gray125"/>
    </fill>
    <fill>
      <patternFill patternType="solid">
        <fgColor rgb="FFFFFF00"/>
        <bgColor indexed="64"/>
      </patternFill>
    </fill>
    <fill>
      <patternFill patternType="solid">
        <fgColor theme="0" tint="-0.499984740745262"/>
        <bgColor indexed="64"/>
      </patternFill>
    </fill>
    <fill>
      <patternFill patternType="solid">
        <fgColor theme="1"/>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FFC000"/>
        <bgColor indexed="64"/>
      </patternFill>
    </fill>
    <fill>
      <patternFill patternType="solid">
        <fgColor indexed="23"/>
        <bgColor indexed="64"/>
      </patternFill>
    </fill>
    <fill>
      <patternFill patternType="solid">
        <fgColor rgb="FFFF0000"/>
        <bgColor indexed="64"/>
      </patternFill>
    </fill>
    <fill>
      <patternFill patternType="solid">
        <fgColor rgb="FF92D050"/>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theme="1" tint="4.9989318521683403E-2"/>
        <bgColor indexed="64"/>
      </patternFill>
    </fill>
    <fill>
      <patternFill patternType="solid">
        <fgColor theme="0" tint="-0.14999847407452621"/>
        <bgColor indexed="64"/>
      </patternFill>
    </fill>
    <fill>
      <patternFill patternType="solid">
        <fgColor rgb="FFB8CCE4"/>
        <bgColor rgb="FF000000"/>
      </patternFill>
    </fill>
    <fill>
      <patternFill patternType="solid">
        <fgColor theme="9" tint="0.59996337778862885"/>
        <bgColor indexed="64"/>
      </patternFill>
    </fill>
    <fill>
      <patternFill patternType="solid">
        <fgColor theme="4" tint="0.59999389629810485"/>
        <bgColor rgb="FF000000"/>
      </patternFill>
    </fill>
    <fill>
      <patternFill patternType="solid">
        <fgColor theme="4" tint="0.59999389629810485"/>
        <bgColor indexed="64"/>
      </patternFill>
    </fill>
    <fill>
      <patternFill patternType="solid">
        <fgColor theme="5" tint="0.39997558519241921"/>
        <bgColor indexed="64"/>
      </patternFill>
    </fill>
  </fills>
  <borders count="87">
    <border>
      <left/>
      <right/>
      <top/>
      <bottom/>
      <diagonal/>
    </border>
    <border>
      <left style="thin">
        <color indexed="64"/>
      </left>
      <right/>
      <top/>
      <bottom/>
      <diagonal/>
    </border>
    <border>
      <left/>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double">
        <color indexed="64"/>
      </bottom>
      <diagonal/>
    </border>
    <border>
      <left/>
      <right style="thin">
        <color auto="1"/>
      </right>
      <top/>
      <bottom/>
      <diagonal/>
    </border>
    <border>
      <left style="medium">
        <color indexed="64"/>
      </left>
      <right style="thin">
        <color indexed="64"/>
      </right>
      <top/>
      <bottom style="medium">
        <color indexed="64"/>
      </bottom>
      <diagonal/>
    </border>
    <border>
      <left/>
      <right style="thin">
        <color auto="1"/>
      </right>
      <top/>
      <bottom style="double">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double">
        <color indexed="64"/>
      </top>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right/>
      <top style="thick">
        <color auto="1"/>
      </top>
      <bottom style="medium">
        <color auto="1"/>
      </bottom>
      <diagonal/>
    </border>
    <border>
      <left/>
      <right/>
      <top style="double">
        <color indexed="64"/>
      </top>
      <bottom style="double">
        <color indexed="64"/>
      </bottom>
      <diagonal/>
    </border>
    <border>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s>
  <cellStyleXfs count="120">
    <xf numFmtId="0" fontId="0" fillId="0" borderId="0"/>
    <xf numFmtId="43" fontId="17" fillId="0" borderId="0" applyFont="0" applyFill="0" applyBorder="0" applyAlignment="0" applyProtection="0"/>
    <xf numFmtId="44" fontId="13" fillId="0" borderId="0" applyFont="0" applyFill="0" applyBorder="0" applyAlignment="0" applyProtection="0"/>
    <xf numFmtId="0" fontId="14" fillId="0" borderId="0"/>
    <xf numFmtId="0" fontId="17" fillId="0" borderId="0"/>
    <xf numFmtId="37" fontId="19" fillId="0" borderId="0"/>
    <xf numFmtId="0" fontId="20" fillId="0" borderId="0"/>
    <xf numFmtId="9" fontId="17" fillId="0" borderId="0" applyFont="0" applyFill="0" applyBorder="0" applyAlignment="0" applyProtection="0"/>
    <xf numFmtId="9" fontId="21" fillId="0" borderId="0" applyFont="0" applyFill="0" applyBorder="0" applyAlignment="0" applyProtection="0"/>
    <xf numFmtId="44" fontId="12" fillId="0" borderId="0" applyFont="0" applyFill="0" applyBorder="0" applyAlignment="0" applyProtection="0"/>
    <xf numFmtId="44" fontId="1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0" fontId="10" fillId="0" borderId="0"/>
    <xf numFmtId="43" fontId="17" fillId="0" borderId="0" applyFont="0" applyFill="0" applyBorder="0" applyAlignment="0" applyProtection="0"/>
    <xf numFmtId="0" fontId="17" fillId="0" borderId="0"/>
    <xf numFmtId="0" fontId="17" fillId="0" borderId="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28"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3" fontId="10" fillId="0" borderId="0" applyFont="0" applyFill="0" applyBorder="0" applyAlignment="0" applyProtection="0"/>
    <xf numFmtId="0" fontId="29" fillId="0" borderId="0"/>
    <xf numFmtId="0" fontId="31" fillId="0" borderId="0"/>
    <xf numFmtId="0" fontId="9" fillId="0" borderId="0"/>
    <xf numFmtId="9" fontId="9"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6" fillId="0" borderId="0" applyFont="0" applyFill="0" applyBorder="0" applyAlignment="0" applyProtection="0"/>
    <xf numFmtId="44" fontId="17" fillId="0" borderId="0" applyFont="0" applyFill="0" applyBorder="0" applyAlignment="0" applyProtection="0"/>
    <xf numFmtId="0" fontId="17"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44" fontId="17" fillId="0" borderId="0" applyFont="0" applyFill="0" applyBorder="0" applyAlignment="0" applyProtection="0"/>
    <xf numFmtId="0" fontId="31"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cellStyleXfs>
  <cellXfs count="4510">
    <xf numFmtId="0" fontId="0" fillId="0" borderId="0" xfId="0"/>
    <xf numFmtId="0" fontId="15" fillId="0" borderId="0" xfId="3" applyFont="1"/>
    <xf numFmtId="38" fontId="15" fillId="0" borderId="0" xfId="3" applyNumberFormat="1" applyFont="1"/>
    <xf numFmtId="38" fontId="15" fillId="0" borderId="0" xfId="3" applyNumberFormat="1" applyFont="1" applyProtection="1">
      <protection locked="0"/>
    </xf>
    <xf numFmtId="1" fontId="15" fillId="0" borderId="0" xfId="3" applyNumberFormat="1" applyFont="1" applyProtection="1">
      <protection locked="0"/>
    </xf>
    <xf numFmtId="1" fontId="15" fillId="0" borderId="0" xfId="3" applyNumberFormat="1" applyFont="1" applyBorder="1" applyProtection="1">
      <protection locked="0"/>
    </xf>
    <xf numFmtId="0" fontId="15" fillId="0" borderId="0" xfId="3" applyFont="1" applyBorder="1"/>
    <xf numFmtId="0" fontId="15" fillId="0" borderId="0" xfId="3" applyFont="1" applyAlignment="1">
      <alignment horizontal="center"/>
    </xf>
    <xf numFmtId="0" fontId="15" fillId="0" borderId="2" xfId="3" applyNumberFormat="1" applyFont="1" applyBorder="1" applyAlignment="1" applyProtection="1">
      <alignment horizontal="center"/>
      <protection locked="0"/>
    </xf>
    <xf numFmtId="38" fontId="15" fillId="0" borderId="2" xfId="3" applyNumberFormat="1" applyFont="1" applyBorder="1" applyAlignment="1" applyProtection="1">
      <alignment horizontal="center"/>
      <protection locked="0"/>
    </xf>
    <xf numFmtId="0" fontId="15" fillId="0" borderId="2" xfId="3" applyFont="1" applyBorder="1" applyAlignment="1">
      <alignment horizontal="center"/>
    </xf>
    <xf numFmtId="0" fontId="15" fillId="0" borderId="0" xfId="3" applyFont="1" applyAlignment="1">
      <alignment horizontal="left"/>
    </xf>
    <xf numFmtId="0" fontId="15" fillId="3" borderId="2" xfId="3" applyFont="1" applyFill="1" applyBorder="1"/>
    <xf numFmtId="0" fontId="15" fillId="0" borderId="7" xfId="3" applyFont="1" applyBorder="1" applyAlignment="1">
      <alignment horizontal="left"/>
    </xf>
    <xf numFmtId="0" fontId="15" fillId="0" borderId="9" xfId="3" applyFont="1" applyBorder="1" applyAlignment="1">
      <alignment horizontal="left"/>
    </xf>
    <xf numFmtId="0" fontId="18" fillId="0" borderId="7" xfId="3" applyNumberFormat="1" applyFont="1" applyBorder="1" applyAlignment="1" applyProtection="1">
      <alignment horizontal="left"/>
      <protection locked="0"/>
    </xf>
    <xf numFmtId="0" fontId="18" fillId="0" borderId="11" xfId="3" applyNumberFormat="1" applyFont="1" applyBorder="1" applyAlignment="1" applyProtection="1">
      <alignment horizontal="left"/>
      <protection locked="0"/>
    </xf>
    <xf numFmtId="0" fontId="15" fillId="0" borderId="7" xfId="3" applyNumberFormat="1" applyFont="1" applyBorder="1" applyAlignment="1" applyProtection="1">
      <alignment horizontal="left"/>
      <protection locked="0"/>
    </xf>
    <xf numFmtId="0" fontId="18" fillId="0" borderId="7" xfId="3" applyFont="1" applyBorder="1" applyAlignment="1">
      <alignment horizontal="left"/>
    </xf>
    <xf numFmtId="0" fontId="15" fillId="0" borderId="15" xfId="3" applyNumberFormat="1" applyFont="1" applyBorder="1" applyAlignment="1" applyProtection="1">
      <alignment horizontal="center"/>
      <protection locked="0"/>
    </xf>
    <xf numFmtId="0" fontId="15" fillId="0" borderId="14" xfId="3" applyNumberFormat="1" applyFont="1" applyBorder="1" applyAlignment="1" applyProtection="1">
      <alignment horizontal="center"/>
      <protection locked="0"/>
    </xf>
    <xf numFmtId="0" fontId="15" fillId="3" borderId="5" xfId="3" applyFont="1" applyFill="1" applyBorder="1" applyAlignment="1">
      <alignment horizontal="centerContinuous"/>
    </xf>
    <xf numFmtId="0" fontId="15" fillId="0" borderId="5" xfId="3" applyNumberFormat="1" applyFont="1" applyBorder="1" applyAlignment="1" applyProtection="1">
      <alignment horizontal="center"/>
      <protection locked="0"/>
    </xf>
    <xf numFmtId="0" fontId="15" fillId="0" borderId="5" xfId="3" applyFont="1" applyBorder="1" applyAlignment="1">
      <alignment horizontal="center"/>
    </xf>
    <xf numFmtId="0" fontId="18" fillId="0" borderId="9" xfId="3" applyFont="1" applyBorder="1" applyAlignment="1">
      <alignment horizontal="left"/>
    </xf>
    <xf numFmtId="165" fontId="15" fillId="3" borderId="0" xfId="2" applyNumberFormat="1" applyFont="1" applyFill="1" applyBorder="1"/>
    <xf numFmtId="165" fontId="15" fillId="3" borderId="0" xfId="2" applyNumberFormat="1" applyFont="1" applyFill="1" applyBorder="1" applyProtection="1">
      <protection locked="0"/>
    </xf>
    <xf numFmtId="165" fontId="15" fillId="3" borderId="2" xfId="2" applyNumberFormat="1" applyFont="1" applyFill="1" applyBorder="1" applyProtection="1">
      <protection locked="0"/>
    </xf>
    <xf numFmtId="0" fontId="23" fillId="0" borderId="0" xfId="3" applyFont="1" applyAlignment="1">
      <alignment horizontal="left"/>
    </xf>
    <xf numFmtId="0" fontId="15" fillId="5" borderId="5" xfId="3" applyFont="1" applyFill="1" applyBorder="1" applyAlignment="1">
      <alignment horizontal="center"/>
    </xf>
    <xf numFmtId="0" fontId="15" fillId="5" borderId="2" xfId="3" applyFont="1" applyFill="1" applyBorder="1" applyAlignment="1">
      <alignment horizontal="center"/>
    </xf>
    <xf numFmtId="0" fontId="15" fillId="5" borderId="6" xfId="3" applyFont="1" applyFill="1" applyBorder="1" applyAlignment="1">
      <alignment horizontal="center"/>
    </xf>
    <xf numFmtId="0" fontId="15" fillId="5" borderId="10" xfId="3" applyFont="1" applyFill="1" applyBorder="1" applyAlignment="1">
      <alignment horizontal="center"/>
    </xf>
    <xf numFmtId="165" fontId="18" fillId="0" borderId="1" xfId="2" applyNumberFormat="1" applyFont="1" applyBorder="1" applyProtection="1">
      <protection locked="0"/>
    </xf>
    <xf numFmtId="165" fontId="18" fillId="3" borderId="0" xfId="2" applyNumberFormat="1" applyFont="1" applyFill="1" applyBorder="1" applyProtection="1">
      <protection locked="0"/>
    </xf>
    <xf numFmtId="165" fontId="18" fillId="0" borderId="0" xfId="2" applyNumberFormat="1" applyFont="1" applyBorder="1" applyProtection="1">
      <protection locked="0"/>
    </xf>
    <xf numFmtId="165" fontId="18" fillId="3" borderId="3" xfId="2" applyNumberFormat="1" applyFont="1" applyFill="1" applyBorder="1" applyProtection="1">
      <protection locked="0"/>
    </xf>
    <xf numFmtId="165" fontId="15" fillId="0" borderId="0" xfId="2" applyNumberFormat="1" applyFont="1" applyFill="1" applyBorder="1"/>
    <xf numFmtId="165" fontId="18" fillId="0" borderId="0" xfId="2" applyNumberFormat="1" applyFont="1" applyFill="1" applyBorder="1" applyProtection="1">
      <protection locked="0"/>
    </xf>
    <xf numFmtId="0" fontId="23" fillId="0" borderId="0" xfId="3" applyFont="1" applyFill="1" applyAlignment="1">
      <alignment horizontal="left"/>
    </xf>
    <xf numFmtId="0" fontId="18" fillId="0" borderId="0" xfId="3" applyNumberFormat="1" applyFont="1" applyFill="1" applyBorder="1" applyAlignment="1" applyProtection="1">
      <alignment horizontal="left"/>
      <protection locked="0"/>
    </xf>
    <xf numFmtId="0" fontId="15" fillId="0" borderId="2" xfId="3" applyFont="1" applyBorder="1" applyAlignment="1"/>
    <xf numFmtId="165" fontId="18" fillId="3" borderId="8" xfId="2" applyNumberFormat="1" applyFont="1" applyFill="1" applyBorder="1" applyProtection="1">
      <protection locked="0"/>
    </xf>
    <xf numFmtId="165" fontId="15" fillId="0" borderId="0" xfId="2" applyNumberFormat="1" applyFont="1" applyBorder="1" applyAlignment="1">
      <alignment horizontal="center"/>
    </xf>
    <xf numFmtId="165" fontId="15" fillId="0" borderId="14" xfId="2" applyNumberFormat="1" applyFont="1" applyBorder="1" applyAlignment="1" applyProtection="1">
      <alignment horizontal="center"/>
      <protection locked="0"/>
    </xf>
    <xf numFmtId="165" fontId="15" fillId="3" borderId="5" xfId="2" applyNumberFormat="1" applyFont="1" applyFill="1" applyBorder="1"/>
    <xf numFmtId="165" fontId="15" fillId="0" borderId="5" xfId="2" applyNumberFormat="1" applyFont="1" applyBorder="1" applyAlignment="1" applyProtection="1">
      <alignment horizontal="center"/>
      <protection locked="0"/>
    </xf>
    <xf numFmtId="165" fontId="15" fillId="0" borderId="5" xfId="2" applyNumberFormat="1" applyFont="1" applyBorder="1" applyAlignment="1">
      <alignment horizontal="center"/>
    </xf>
    <xf numFmtId="0" fontId="15" fillId="0" borderId="5" xfId="3" applyFont="1" applyBorder="1"/>
    <xf numFmtId="0" fontId="15" fillId="0" borderId="6" xfId="3" applyFont="1" applyBorder="1"/>
    <xf numFmtId="38" fontId="15" fillId="0" borderId="5" xfId="3" applyNumberFormat="1" applyFont="1" applyBorder="1" applyAlignment="1" applyProtection="1">
      <alignment horizontal="center"/>
      <protection locked="0"/>
    </xf>
    <xf numFmtId="0" fontId="16" fillId="0" borderId="4" xfId="3" applyFont="1" applyBorder="1" applyAlignment="1">
      <alignment horizontal="left"/>
    </xf>
    <xf numFmtId="0" fontId="15" fillId="0" borderId="0" xfId="3" applyFont="1" applyBorder="1" applyAlignment="1"/>
    <xf numFmtId="0" fontId="15" fillId="0" borderId="0" xfId="3" applyFont="1" applyBorder="1" applyAlignment="1">
      <alignment horizontal="center"/>
    </xf>
    <xf numFmtId="0" fontId="15" fillId="3" borderId="5" xfId="3" applyFont="1" applyFill="1" applyBorder="1" applyAlignment="1">
      <alignment horizontal="center"/>
    </xf>
    <xf numFmtId="0" fontId="15" fillId="0" borderId="9" xfId="3" applyFont="1" applyBorder="1" applyAlignment="1">
      <alignment horizontal="center"/>
    </xf>
    <xf numFmtId="0" fontId="15" fillId="3" borderId="2" xfId="3" applyFont="1" applyFill="1" applyBorder="1" applyAlignment="1">
      <alignment horizontal="center"/>
    </xf>
    <xf numFmtId="0" fontId="23" fillId="0" borderId="0" xfId="3" applyFont="1"/>
    <xf numFmtId="0" fontId="18" fillId="3" borderId="7" xfId="3" applyFont="1" applyFill="1" applyBorder="1" applyAlignment="1">
      <alignment horizontal="left"/>
    </xf>
    <xf numFmtId="0" fontId="15" fillId="0" borderId="18" xfId="3" applyFont="1" applyBorder="1" applyAlignment="1">
      <alignment horizontal="center"/>
    </xf>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0" fontId="15" fillId="0" borderId="4" xfId="3" applyNumberFormat="1" applyFont="1" applyBorder="1" applyAlignment="1" applyProtection="1">
      <alignment horizontal="left"/>
      <protection locked="0"/>
    </xf>
    <xf numFmtId="165" fontId="15" fillId="0" borderId="14" xfId="2" applyNumberFormat="1" applyFont="1" applyBorder="1"/>
    <xf numFmtId="165" fontId="15" fillId="0" borderId="5" xfId="2" applyNumberFormat="1" applyFont="1" applyBorder="1"/>
    <xf numFmtId="0" fontId="15" fillId="0" borderId="0" xfId="3" applyFont="1" applyFill="1"/>
    <xf numFmtId="164" fontId="15" fillId="0" borderId="15" xfId="1" applyNumberFormat="1" applyFont="1" applyBorder="1" applyProtection="1">
      <protection locked="0"/>
    </xf>
    <xf numFmtId="164" fontId="15" fillId="0" borderId="2" xfId="1" applyNumberFormat="1" applyFont="1" applyBorder="1" applyProtection="1">
      <protection locked="0"/>
    </xf>
    <xf numFmtId="164" fontId="15" fillId="3" borderId="2" xfId="1" applyNumberFormat="1" applyFont="1" applyFill="1" applyBorder="1" applyProtection="1">
      <protection locked="0"/>
    </xf>
    <xf numFmtId="164" fontId="15" fillId="0" borderId="1" xfId="1" applyNumberFormat="1" applyFont="1" applyBorder="1"/>
    <xf numFmtId="164" fontId="15" fillId="3" borderId="0" xfId="1" applyNumberFormat="1" applyFont="1" applyFill="1" applyBorder="1"/>
    <xf numFmtId="164" fontId="15" fillId="0" borderId="0" xfId="1" applyNumberFormat="1" applyFont="1" applyBorder="1"/>
    <xf numFmtId="164" fontId="18" fillId="3" borderId="0" xfId="1" applyNumberFormat="1" applyFont="1" applyFill="1" applyBorder="1" applyProtection="1">
      <protection locked="0"/>
    </xf>
    <xf numFmtId="164" fontId="18" fillId="0" borderId="0" xfId="1" applyNumberFormat="1" applyFont="1" applyBorder="1" applyProtection="1">
      <protection locked="0"/>
    </xf>
    <xf numFmtId="166" fontId="18" fillId="0" borderId="1" xfId="8" applyNumberFormat="1" applyFont="1" applyBorder="1" applyProtection="1">
      <protection locked="0"/>
    </xf>
    <xf numFmtId="166" fontId="18" fillId="3" borderId="0" xfId="8" applyNumberFormat="1" applyFont="1" applyFill="1" applyBorder="1" applyProtection="1">
      <protection locked="0"/>
    </xf>
    <xf numFmtId="166" fontId="18" fillId="0" borderId="0" xfId="8" applyNumberFormat="1" applyFont="1" applyBorder="1" applyProtection="1">
      <protection locked="0"/>
    </xf>
    <xf numFmtId="166" fontId="18" fillId="3" borderId="2" xfId="8" applyNumberFormat="1" applyFont="1" applyFill="1" applyBorder="1" applyProtection="1">
      <protection locked="0"/>
    </xf>
    <xf numFmtId="166" fontId="18" fillId="0" borderId="2" xfId="8" applyNumberFormat="1" applyFont="1" applyBorder="1" applyProtection="1">
      <protection locked="0"/>
    </xf>
    <xf numFmtId="164" fontId="18" fillId="3" borderId="3" xfId="1" applyNumberFormat="1" applyFont="1" applyFill="1" applyBorder="1" applyProtection="1">
      <protection locked="0"/>
    </xf>
    <xf numFmtId="164" fontId="18" fillId="0" borderId="3" xfId="1" applyNumberFormat="1" applyFont="1" applyBorder="1" applyProtection="1">
      <protection locked="0"/>
    </xf>
    <xf numFmtId="164" fontId="15" fillId="3" borderId="5" xfId="1" applyNumberFormat="1" applyFont="1" applyFill="1" applyBorder="1"/>
    <xf numFmtId="165" fontId="18" fillId="3" borderId="7" xfId="2" applyNumberFormat="1" applyFont="1" applyFill="1" applyBorder="1" applyProtection="1">
      <protection locked="0"/>
    </xf>
    <xf numFmtId="165" fontId="15" fillId="0" borderId="6" xfId="2" applyNumberFormat="1" applyFont="1" applyBorder="1" applyAlignment="1">
      <alignment horizontal="center"/>
    </xf>
    <xf numFmtId="165" fontId="15" fillId="0" borderId="4" xfId="2" applyNumberFormat="1" applyFont="1" applyBorder="1" applyAlignment="1">
      <alignment horizontal="center"/>
    </xf>
    <xf numFmtId="38" fontId="15" fillId="0" borderId="0" xfId="3" applyNumberFormat="1" applyFont="1" applyBorder="1" applyAlignment="1" applyProtection="1">
      <alignment horizontal="center"/>
      <protection locked="0"/>
    </xf>
    <xf numFmtId="0" fontId="15" fillId="0" borderId="2" xfId="3" applyFont="1" applyFill="1" applyBorder="1" applyAlignment="1">
      <alignment horizontal="center"/>
    </xf>
    <xf numFmtId="0" fontId="15" fillId="0" borderId="4" xfId="3" applyFont="1" applyFill="1" applyBorder="1" applyAlignment="1">
      <alignment horizontal="center"/>
    </xf>
    <xf numFmtId="0" fontId="15" fillId="0" borderId="9" xfId="3" applyFont="1" applyFill="1" applyBorder="1" applyAlignment="1">
      <alignment horizontal="center"/>
    </xf>
    <xf numFmtId="0" fontId="15" fillId="0" borderId="6" xfId="3" applyFont="1" applyFill="1" applyBorder="1" applyAlignment="1">
      <alignment horizontal="center"/>
    </xf>
    <xf numFmtId="0" fontId="15" fillId="0" borderId="10" xfId="3" applyFont="1" applyFill="1" applyBorder="1" applyAlignment="1">
      <alignment horizontal="center"/>
    </xf>
    <xf numFmtId="0" fontId="15" fillId="0" borderId="5" xfId="3" applyFont="1" applyFill="1" applyBorder="1" applyAlignment="1">
      <alignment horizontal="center"/>
    </xf>
    <xf numFmtId="165" fontId="15" fillId="3" borderId="2" xfId="2" applyNumberFormat="1" applyFont="1" applyFill="1" applyBorder="1"/>
    <xf numFmtId="0" fontId="15" fillId="0" borderId="0" xfId="3" applyFont="1" applyAlignment="1">
      <alignment horizontal="center"/>
    </xf>
    <xf numFmtId="0" fontId="18" fillId="0" borderId="0" xfId="3" applyFont="1" applyAlignment="1">
      <alignment horizontal="left"/>
    </xf>
    <xf numFmtId="164" fontId="15" fillId="3" borderId="2" xfId="1" applyNumberFormat="1" applyFont="1" applyFill="1" applyBorder="1"/>
    <xf numFmtId="0" fontId="23" fillId="0" borderId="0" xfId="3" applyFont="1" applyFill="1"/>
    <xf numFmtId="1" fontId="15" fillId="0" borderId="0" xfId="3" applyNumberFormat="1" applyFont="1" applyFill="1" applyProtection="1">
      <protection locked="0"/>
    </xf>
    <xf numFmtId="0" fontId="22" fillId="0" borderId="0" xfId="3" applyFont="1"/>
    <xf numFmtId="0" fontId="16" fillId="0" borderId="0" xfId="3" applyFont="1" applyAlignment="1">
      <alignment horizontal="left"/>
    </xf>
    <xf numFmtId="0" fontId="18" fillId="0" borderId="26" xfId="3" applyNumberFormat="1" applyFont="1" applyBorder="1" applyAlignment="1" applyProtection="1">
      <alignment horizontal="left"/>
      <protection locked="0"/>
    </xf>
    <xf numFmtId="0" fontId="15" fillId="0" borderId="21" xfId="3" applyFont="1" applyBorder="1"/>
    <xf numFmtId="0" fontId="15" fillId="0" borderId="22" xfId="3" applyFont="1" applyBorder="1"/>
    <xf numFmtId="0" fontId="15" fillId="0" borderId="9" xfId="3" applyNumberFormat="1" applyFont="1" applyBorder="1" applyAlignment="1" applyProtection="1">
      <alignment horizontal="left"/>
      <protection locked="0"/>
    </xf>
    <xf numFmtId="38" fontId="15" fillId="0" borderId="14" xfId="3" applyNumberFormat="1" applyFont="1" applyBorder="1" applyAlignment="1" applyProtection="1">
      <alignment horizontal="center"/>
      <protection locked="0"/>
    </xf>
    <xf numFmtId="0" fontId="18" fillId="0" borderId="0" xfId="3" applyFont="1" applyFill="1" applyAlignment="1">
      <alignment horizontal="left"/>
    </xf>
    <xf numFmtId="0" fontId="15" fillId="0" borderId="0" xfId="3" applyFont="1" applyFill="1" applyAlignment="1">
      <alignment horizontal="left"/>
    </xf>
    <xf numFmtId="0" fontId="15" fillId="0" borderId="7" xfId="3" applyNumberFormat="1" applyFont="1" applyFill="1" applyBorder="1" applyAlignment="1" applyProtection="1">
      <alignment horizontal="left"/>
      <protection locked="0"/>
    </xf>
    <xf numFmtId="0" fontId="15" fillId="0" borderId="0" xfId="3" applyFont="1" applyAlignment="1">
      <alignment horizontal="center"/>
    </xf>
    <xf numFmtId="0" fontId="15" fillId="4" borderId="0" xfId="3" applyFont="1" applyFill="1" applyAlignment="1">
      <alignment horizontal="left"/>
    </xf>
    <xf numFmtId="0" fontId="15" fillId="4" borderId="0" xfId="3" applyFont="1" applyFill="1"/>
    <xf numFmtId="38" fontId="15" fillId="4" borderId="0" xfId="3" applyNumberFormat="1" applyFont="1" applyFill="1"/>
    <xf numFmtId="0" fontId="15" fillId="2" borderId="4" xfId="3" applyFont="1" applyFill="1" applyBorder="1" applyAlignment="1">
      <alignment horizontal="center"/>
    </xf>
    <xf numFmtId="164" fontId="15" fillId="0" borderId="14" xfId="1" applyNumberFormat="1" applyFont="1" applyBorder="1" applyAlignment="1" applyProtection="1">
      <alignment horizontal="center"/>
      <protection locked="0"/>
    </xf>
    <xf numFmtId="164" fontId="15" fillId="0" borderId="5" xfId="1" applyNumberFormat="1" applyFont="1" applyBorder="1" applyAlignment="1" applyProtection="1">
      <alignment horizontal="center"/>
      <protection locked="0"/>
    </xf>
    <xf numFmtId="164" fontId="15" fillId="0" borderId="5" xfId="1" applyNumberFormat="1" applyFont="1" applyBorder="1" applyAlignment="1">
      <alignment horizontal="center"/>
    </xf>
    <xf numFmtId="164" fontId="15" fillId="0" borderId="5" xfId="1" applyNumberFormat="1" applyFont="1" applyBorder="1"/>
    <xf numFmtId="164" fontId="15" fillId="0" borderId="6" xfId="1" applyNumberFormat="1" applyFont="1" applyBorder="1"/>
    <xf numFmtId="164" fontId="15" fillId="0" borderId="4" xfId="1" applyNumberFormat="1" applyFont="1" applyBorder="1" applyAlignment="1">
      <alignment horizontal="center"/>
    </xf>
    <xf numFmtId="164" fontId="15" fillId="0" borderId="6" xfId="1" applyNumberFormat="1" applyFont="1" applyBorder="1" applyAlignment="1">
      <alignment horizontal="center"/>
    </xf>
    <xf numFmtId="164" fontId="15" fillId="0" borderId="8" xfId="1" applyNumberFormat="1" applyFont="1" applyBorder="1"/>
    <xf numFmtId="164" fontId="15" fillId="0" borderId="1" xfId="1" applyNumberFormat="1" applyFont="1" applyBorder="1" applyProtection="1">
      <protection locked="0"/>
    </xf>
    <xf numFmtId="164" fontId="15" fillId="3" borderId="0" xfId="1" applyNumberFormat="1" applyFont="1" applyFill="1" applyBorder="1" applyProtection="1">
      <protection locked="0"/>
    </xf>
    <xf numFmtId="164" fontId="15" fillId="0" borderId="0" xfId="1" applyNumberFormat="1" applyFont="1" applyBorder="1" applyProtection="1">
      <protection locked="0"/>
    </xf>
    <xf numFmtId="164" fontId="18" fillId="3" borderId="1" xfId="1" applyNumberFormat="1" applyFont="1" applyFill="1" applyBorder="1" applyProtection="1">
      <protection locked="0"/>
    </xf>
    <xf numFmtId="164" fontId="15" fillId="3" borderId="8" xfId="1" applyNumberFormat="1" applyFont="1" applyFill="1" applyBorder="1"/>
    <xf numFmtId="164" fontId="15" fillId="0" borderId="0" xfId="1" applyNumberFormat="1" applyFont="1" applyBorder="1" applyAlignment="1">
      <alignment horizontal="center"/>
    </xf>
    <xf numFmtId="164" fontId="15" fillId="0" borderId="15" xfId="1" applyNumberFormat="1" applyFont="1" applyBorder="1" applyAlignment="1" applyProtection="1">
      <alignment horizontal="center"/>
      <protection locked="0"/>
    </xf>
    <xf numFmtId="164" fontId="15" fillId="0" borderId="2" xfId="1" applyNumberFormat="1" applyFont="1" applyBorder="1" applyAlignment="1" applyProtection="1">
      <alignment horizontal="center"/>
      <protection locked="0"/>
    </xf>
    <xf numFmtId="164" fontId="15" fillId="0" borderId="1" xfId="1" applyNumberFormat="1" applyFont="1" applyBorder="1"/>
    <xf numFmtId="164" fontId="15" fillId="3" borderId="0" xfId="1" applyNumberFormat="1" applyFont="1" applyFill="1" applyBorder="1"/>
    <xf numFmtId="164" fontId="15" fillId="0" borderId="0" xfId="1" applyNumberFormat="1" applyFont="1" applyBorder="1"/>
    <xf numFmtId="37" fontId="18" fillId="0" borderId="1" xfId="18" applyNumberFormat="1" applyFont="1" applyBorder="1" applyProtection="1">
      <protection locked="0"/>
    </xf>
    <xf numFmtId="37" fontId="18" fillId="3" borderId="0" xfId="18" applyNumberFormat="1" applyFont="1" applyFill="1" applyBorder="1" applyProtection="1">
      <protection locked="0"/>
    </xf>
    <xf numFmtId="37" fontId="18" fillId="0" borderId="0" xfId="18" applyNumberFormat="1" applyFont="1" applyBorder="1" applyProtection="1">
      <protection locked="0"/>
    </xf>
    <xf numFmtId="165" fontId="18" fillId="3" borderId="0" xfId="18" applyNumberFormat="1" applyFont="1" applyFill="1" applyBorder="1" applyProtection="1">
      <protection locked="0"/>
    </xf>
    <xf numFmtId="37" fontId="18" fillId="0" borderId="8" xfId="3" applyNumberFormat="1" applyFont="1" applyBorder="1"/>
    <xf numFmtId="37" fontId="18" fillId="0" borderId="1" xfId="18" applyNumberFormat="1" applyFont="1" applyBorder="1" applyProtection="1">
      <protection locked="0"/>
    </xf>
    <xf numFmtId="37" fontId="18" fillId="3" borderId="0" xfId="18" applyNumberFormat="1" applyFont="1" applyFill="1" applyBorder="1" applyProtection="1">
      <protection locked="0"/>
    </xf>
    <xf numFmtId="37" fontId="18" fillId="0" borderId="0" xfId="18" applyNumberFormat="1" applyFont="1" applyBorder="1" applyProtection="1">
      <protection locked="0"/>
    </xf>
    <xf numFmtId="165" fontId="18" fillId="3" borderId="0" xfId="18" applyNumberFormat="1" applyFont="1" applyFill="1" applyBorder="1" applyProtection="1">
      <protection locked="0"/>
    </xf>
    <xf numFmtId="37" fontId="18" fillId="0" borderId="8" xfId="3" applyNumberFormat="1" applyFont="1" applyBorder="1"/>
    <xf numFmtId="37" fontId="18" fillId="0" borderId="0" xfId="3" applyNumberFormat="1" applyFont="1" applyBorder="1"/>
    <xf numFmtId="37" fontId="18" fillId="3" borderId="0" xfId="18" applyNumberFormat="1" applyFont="1" applyFill="1" applyBorder="1" applyProtection="1">
      <protection locked="0"/>
    </xf>
    <xf numFmtId="37" fontId="18" fillId="0" borderId="0" xfId="18" applyNumberFormat="1" applyFont="1" applyBorder="1" applyProtection="1">
      <protection locked="0"/>
    </xf>
    <xf numFmtId="165" fontId="18" fillId="3" borderId="0" xfId="18" applyNumberFormat="1" applyFont="1" applyFill="1" applyBorder="1" applyProtection="1">
      <protection locked="0"/>
    </xf>
    <xf numFmtId="37" fontId="18" fillId="0" borderId="8" xfId="3" applyNumberFormat="1" applyFont="1" applyBorder="1"/>
    <xf numFmtId="37" fontId="18" fillId="0" borderId="0" xfId="3" applyNumberFormat="1" applyFont="1" applyBorder="1"/>
    <xf numFmtId="37" fontId="18" fillId="0" borderId="1" xfId="18" applyNumberFormat="1" applyFont="1" applyBorder="1" applyAlignment="1" applyProtection="1">
      <alignment horizontal="right"/>
      <protection locked="0"/>
    </xf>
    <xf numFmtId="37" fontId="18" fillId="0" borderId="0" xfId="18" applyNumberFormat="1" applyFont="1" applyBorder="1" applyAlignment="1" applyProtection="1">
      <alignment horizontal="right"/>
      <protection locked="0"/>
    </xf>
    <xf numFmtId="37" fontId="18" fillId="0" borderId="16" xfId="18" applyNumberFormat="1" applyFont="1" applyBorder="1" applyAlignment="1" applyProtection="1">
      <alignment horizontal="right"/>
      <protection locked="0"/>
    </xf>
    <xf numFmtId="37" fontId="18" fillId="3" borderId="3" xfId="18" applyNumberFormat="1" applyFont="1" applyFill="1" applyBorder="1" applyProtection="1">
      <protection locked="0"/>
    </xf>
    <xf numFmtId="37" fontId="18" fillId="0" borderId="3" xfId="18" applyNumberFormat="1" applyFont="1" applyBorder="1" applyAlignment="1" applyProtection="1">
      <alignment horizontal="right"/>
      <protection locked="0"/>
    </xf>
    <xf numFmtId="165" fontId="18" fillId="3" borderId="3" xfId="18" applyNumberFormat="1" applyFont="1" applyFill="1" applyBorder="1" applyProtection="1">
      <protection locked="0"/>
    </xf>
    <xf numFmtId="37" fontId="18" fillId="0" borderId="3" xfId="18" applyNumberFormat="1" applyFont="1" applyBorder="1" applyProtection="1">
      <protection locked="0"/>
    </xf>
    <xf numFmtId="37" fontId="18" fillId="0" borderId="3" xfId="3" applyNumberFormat="1" applyFont="1" applyBorder="1"/>
    <xf numFmtId="37" fontId="18" fillId="0" borderId="12" xfId="3" applyNumberFormat="1" applyFont="1" applyBorder="1"/>
    <xf numFmtId="164" fontId="15" fillId="0" borderId="1" xfId="1" applyNumberFormat="1" applyFont="1" applyBorder="1"/>
    <xf numFmtId="164" fontId="15" fillId="3" borderId="0" xfId="1" applyNumberFormat="1" applyFont="1" applyFill="1" applyBorder="1"/>
    <xf numFmtId="164" fontId="15" fillId="0" borderId="0" xfId="1" applyNumberFormat="1" applyFont="1" applyBorder="1"/>
    <xf numFmtId="164" fontId="18" fillId="0" borderId="1" xfId="1" applyNumberFormat="1" applyFont="1" applyBorder="1" applyProtection="1">
      <protection locked="0"/>
    </xf>
    <xf numFmtId="164" fontId="18" fillId="3" borderId="0" xfId="1" applyNumberFormat="1" applyFont="1" applyFill="1" applyBorder="1" applyProtection="1">
      <protection locked="0"/>
    </xf>
    <xf numFmtId="164" fontId="18" fillId="0" borderId="0" xfId="1" applyNumberFormat="1" applyFont="1" applyBorder="1" applyProtection="1">
      <protection locked="0"/>
    </xf>
    <xf numFmtId="164" fontId="18" fillId="3" borderId="3" xfId="1" applyNumberFormat="1" applyFont="1" applyFill="1" applyBorder="1" applyProtection="1">
      <protection locked="0"/>
    </xf>
    <xf numFmtId="164" fontId="18" fillId="0" borderId="3" xfId="1" applyNumberFormat="1" applyFont="1" applyBorder="1" applyProtection="1">
      <protection locked="0"/>
    </xf>
    <xf numFmtId="164" fontId="15" fillId="0" borderId="0" xfId="1" applyNumberFormat="1" applyFont="1" applyBorder="1" applyProtection="1">
      <protection locked="0"/>
    </xf>
    <xf numFmtId="164" fontId="18" fillId="0" borderId="0" xfId="1" applyNumberFormat="1" applyFont="1" applyBorder="1"/>
    <xf numFmtId="164" fontId="18" fillId="0" borderId="8" xfId="1" applyNumberFormat="1" applyFont="1" applyBorder="1"/>
    <xf numFmtId="164" fontId="25" fillId="0" borderId="1" xfId="1" applyNumberFormat="1" applyFont="1" applyBorder="1"/>
    <xf numFmtId="164" fontId="18" fillId="0" borderId="1" xfId="1" applyNumberFormat="1" applyFont="1" applyBorder="1" applyAlignment="1" applyProtection="1">
      <alignment horizontal="right"/>
      <protection locked="0"/>
    </xf>
    <xf numFmtId="164" fontId="18" fillId="0" borderId="0" xfId="1" applyNumberFormat="1" applyFont="1" applyBorder="1" applyAlignment="1" applyProtection="1">
      <alignment horizontal="right"/>
      <protection locked="0"/>
    </xf>
    <xf numFmtId="164" fontId="18" fillId="0" borderId="16" xfId="1" applyNumberFormat="1" applyFont="1" applyBorder="1" applyAlignment="1" applyProtection="1">
      <alignment horizontal="right"/>
      <protection locked="0"/>
    </xf>
    <xf numFmtId="164" fontId="18" fillId="0" borderId="3" xfId="1" applyNumberFormat="1" applyFont="1" applyBorder="1" applyAlignment="1" applyProtection="1">
      <alignment horizontal="right"/>
      <protection locked="0"/>
    </xf>
    <xf numFmtId="164" fontId="18" fillId="0" borderId="3" xfId="1" applyNumberFormat="1" applyFont="1" applyBorder="1"/>
    <xf numFmtId="164" fontId="18" fillId="0" borderId="12" xfId="1" applyNumberFormat="1" applyFont="1" applyBorder="1"/>
    <xf numFmtId="164" fontId="18" fillId="0" borderId="1" xfId="1" applyNumberFormat="1" applyFont="1" applyBorder="1" applyAlignment="1" applyProtection="1">
      <alignment horizontal="center"/>
      <protection locked="0"/>
    </xf>
    <xf numFmtId="0" fontId="15" fillId="0" borderId="0" xfId="3" applyFont="1"/>
    <xf numFmtId="0" fontId="15" fillId="0" borderId="0" xfId="3" applyFont="1" applyAlignment="1">
      <alignment horizontal="center"/>
    </xf>
    <xf numFmtId="0" fontId="18" fillId="0" borderId="7" xfId="3" applyNumberFormat="1" applyFont="1" applyBorder="1" applyAlignment="1" applyProtection="1">
      <alignment horizontal="left"/>
      <protection locked="0"/>
    </xf>
    <xf numFmtId="164" fontId="15" fillId="0" borderId="1" xfId="1" applyNumberFormat="1" applyFont="1" applyBorder="1"/>
    <xf numFmtId="164" fontId="15" fillId="3" borderId="0" xfId="1" applyNumberFormat="1" applyFont="1" applyFill="1" applyBorder="1"/>
    <xf numFmtId="164" fontId="15" fillId="0" borderId="0" xfId="1" applyNumberFormat="1" applyFont="1" applyBorder="1"/>
    <xf numFmtId="164" fontId="18" fillId="3" borderId="0" xfId="1" applyNumberFormat="1" applyFont="1" applyFill="1" applyBorder="1" applyProtection="1">
      <protection locked="0"/>
    </xf>
    <xf numFmtId="164" fontId="18" fillId="3" borderId="3" xfId="1" applyNumberFormat="1" applyFont="1" applyFill="1" applyBorder="1" applyProtection="1">
      <protection locked="0"/>
    </xf>
    <xf numFmtId="164" fontId="15" fillId="3" borderId="5" xfId="1" applyNumberFormat="1" applyFont="1" applyFill="1" applyBorder="1"/>
    <xf numFmtId="164" fontId="15" fillId="0" borderId="0" xfId="1" applyNumberFormat="1" applyFont="1" applyBorder="1" applyProtection="1">
      <protection locked="0"/>
    </xf>
    <xf numFmtId="0" fontId="15" fillId="0" borderId="14" xfId="3" applyNumberFormat="1" applyFont="1" applyBorder="1" applyAlignment="1" applyProtection="1">
      <alignment horizontal="center"/>
      <protection locked="0"/>
    </xf>
    <xf numFmtId="0" fontId="15" fillId="3" borderId="5" xfId="3" applyFont="1" applyFill="1" applyBorder="1" applyAlignment="1">
      <alignment horizontal="center"/>
    </xf>
    <xf numFmtId="0" fontId="15" fillId="0" borderId="5" xfId="3" applyNumberFormat="1" applyFont="1" applyBorder="1" applyAlignment="1" applyProtection="1">
      <alignment horizontal="center"/>
      <protection locked="0"/>
    </xf>
    <xf numFmtId="38" fontId="15" fillId="0" borderId="5" xfId="3" applyNumberFormat="1" applyFont="1" applyBorder="1" applyAlignment="1" applyProtection="1">
      <alignment horizontal="center"/>
      <protection locked="0"/>
    </xf>
    <xf numFmtId="0" fontId="15" fillId="0" borderId="5" xfId="3" applyFont="1" applyBorder="1" applyAlignment="1">
      <alignment horizontal="center"/>
    </xf>
    <xf numFmtId="0" fontId="15" fillId="5" borderId="5" xfId="3" applyFont="1" applyFill="1" applyBorder="1" applyAlignment="1">
      <alignment horizontal="center"/>
    </xf>
    <xf numFmtId="0" fontId="15" fillId="5" borderId="6" xfId="3" applyFont="1" applyFill="1" applyBorder="1" applyAlignment="1">
      <alignment horizontal="center"/>
    </xf>
    <xf numFmtId="0" fontId="15" fillId="0" borderId="4" xfId="3" applyFont="1" applyFill="1" applyBorder="1" applyAlignment="1">
      <alignment horizontal="center"/>
    </xf>
    <xf numFmtId="0" fontId="15" fillId="3" borderId="5" xfId="3" applyFont="1" applyFill="1" applyBorder="1" applyAlignment="1">
      <alignment horizontal="centerContinuous"/>
    </xf>
    <xf numFmtId="0" fontId="15" fillId="0" borderId="5" xfId="3" applyFont="1" applyFill="1" applyBorder="1" applyAlignment="1">
      <alignment horizontal="center"/>
    </xf>
    <xf numFmtId="0" fontId="15" fillId="0" borderId="6" xfId="3" applyFont="1" applyFill="1" applyBorder="1" applyAlignment="1">
      <alignment horizontal="center"/>
    </xf>
    <xf numFmtId="0" fontId="15" fillId="0" borderId="9" xfId="3" applyFont="1" applyBorder="1" applyAlignment="1">
      <alignment horizontal="center"/>
    </xf>
    <xf numFmtId="0" fontId="15" fillId="0" borderId="15" xfId="3" applyNumberFormat="1" applyFont="1" applyBorder="1" applyAlignment="1" applyProtection="1">
      <alignment horizontal="center"/>
      <protection locked="0"/>
    </xf>
    <xf numFmtId="0" fontId="15" fillId="3" borderId="2" xfId="3" applyFont="1" applyFill="1" applyBorder="1" applyAlignment="1">
      <alignment horizontal="center"/>
    </xf>
    <xf numFmtId="0" fontId="15" fillId="0" borderId="2" xfId="3" applyNumberFormat="1" applyFont="1" applyBorder="1" applyAlignment="1" applyProtection="1">
      <alignment horizontal="center"/>
      <protection locked="0"/>
    </xf>
    <xf numFmtId="38" fontId="15" fillId="0" borderId="2" xfId="3" applyNumberFormat="1" applyFont="1" applyBorder="1" applyAlignment="1" applyProtection="1">
      <alignment horizontal="center"/>
      <protection locked="0"/>
    </xf>
    <xf numFmtId="0" fontId="15" fillId="0" borderId="2" xfId="3" applyFont="1" applyBorder="1" applyAlignment="1">
      <alignment horizontal="center"/>
    </xf>
    <xf numFmtId="0" fontId="15" fillId="5" borderId="2" xfId="3" applyFont="1" applyFill="1" applyBorder="1" applyAlignment="1">
      <alignment horizontal="center"/>
    </xf>
    <xf numFmtId="0" fontId="15" fillId="5" borderId="10" xfId="3" applyFont="1" applyFill="1" applyBorder="1" applyAlignment="1">
      <alignment horizontal="center"/>
    </xf>
    <xf numFmtId="0" fontId="15" fillId="0" borderId="9" xfId="3" applyFont="1" applyFill="1" applyBorder="1" applyAlignment="1">
      <alignment horizontal="center"/>
    </xf>
    <xf numFmtId="0" fontId="15" fillId="3" borderId="2" xfId="3" applyFont="1" applyFill="1" applyBorder="1"/>
    <xf numFmtId="0" fontId="15" fillId="0" borderId="2" xfId="3" applyFont="1" applyFill="1" applyBorder="1" applyAlignment="1">
      <alignment horizontal="center"/>
    </xf>
    <xf numFmtId="0" fontId="15" fillId="0" borderId="10" xfId="3" applyFont="1" applyFill="1" applyBorder="1" applyAlignment="1">
      <alignment horizontal="center"/>
    </xf>
    <xf numFmtId="0" fontId="16" fillId="0" borderId="4" xfId="3" applyFont="1" applyBorder="1" applyAlignment="1">
      <alignment horizontal="left"/>
    </xf>
    <xf numFmtId="0" fontId="18" fillId="0" borderId="7" xfId="3" applyFont="1" applyBorder="1" applyAlignment="1">
      <alignment horizontal="left"/>
    </xf>
    <xf numFmtId="0" fontId="18" fillId="3" borderId="7" xfId="3" applyFont="1" applyFill="1" applyBorder="1" applyAlignment="1">
      <alignment horizontal="left"/>
    </xf>
    <xf numFmtId="0" fontId="15" fillId="0" borderId="7" xfId="3" applyFont="1" applyBorder="1" applyAlignment="1">
      <alignment horizontal="left"/>
    </xf>
    <xf numFmtId="0" fontId="18" fillId="0" borderId="9" xfId="3" applyFont="1" applyBorder="1" applyAlignment="1">
      <alignment horizontal="left"/>
    </xf>
    <xf numFmtId="164" fontId="18" fillId="3" borderId="0" xfId="1" applyNumberFormat="1" applyFont="1" applyFill="1" applyBorder="1"/>
    <xf numFmtId="164" fontId="18" fillId="0" borderId="0" xfId="1" applyNumberFormat="1" applyFont="1" applyBorder="1" applyAlignment="1" applyProtection="1">
      <alignment horizontal="center"/>
      <protection locked="0"/>
    </xf>
    <xf numFmtId="164" fontId="18" fillId="0" borderId="0" xfId="1" applyNumberFormat="1" applyFont="1" applyBorder="1" applyAlignment="1">
      <alignment horizontal="center"/>
    </xf>
    <xf numFmtId="164" fontId="18" fillId="0" borderId="15" xfId="1" applyNumberFormat="1" applyFont="1" applyBorder="1" applyAlignment="1" applyProtection="1">
      <alignment horizontal="center"/>
      <protection locked="0"/>
    </xf>
    <xf numFmtId="164" fontId="18" fillId="3" borderId="2" xfId="1" applyNumberFormat="1" applyFont="1" applyFill="1" applyBorder="1"/>
    <xf numFmtId="164" fontId="18" fillId="0" borderId="2" xfId="1" applyNumberFormat="1" applyFont="1" applyBorder="1" applyAlignment="1" applyProtection="1">
      <alignment horizontal="center"/>
      <protection locked="0"/>
    </xf>
    <xf numFmtId="164" fontId="18" fillId="0" borderId="2" xfId="1" applyNumberFormat="1" applyFont="1" applyBorder="1" applyAlignment="1">
      <alignment horizontal="center"/>
    </xf>
    <xf numFmtId="164" fontId="15" fillId="3" borderId="0" xfId="1" applyNumberFormat="1" applyFont="1" applyFill="1" applyBorder="1" applyAlignment="1">
      <alignment horizontal="center"/>
    </xf>
    <xf numFmtId="164" fontId="15" fillId="3" borderId="2" xfId="1" applyNumberFormat="1" applyFont="1" applyFill="1" applyBorder="1" applyAlignment="1" applyProtection="1">
      <alignment horizontal="center"/>
      <protection locked="0"/>
    </xf>
    <xf numFmtId="164" fontId="18" fillId="3" borderId="0" xfId="1" applyNumberFormat="1" applyFont="1" applyFill="1" applyBorder="1" applyAlignment="1" applyProtection="1">
      <alignment horizontal="center"/>
      <protection locked="0"/>
    </xf>
    <xf numFmtId="37" fontId="18" fillId="0" borderId="1" xfId="18" applyNumberFormat="1" applyFont="1" applyBorder="1" applyProtection="1">
      <protection locked="0"/>
    </xf>
    <xf numFmtId="37" fontId="18" fillId="3" borderId="0" xfId="18" applyNumberFormat="1" applyFont="1" applyFill="1" applyBorder="1" applyProtection="1">
      <protection locked="0"/>
    </xf>
    <xf numFmtId="37" fontId="18" fillId="0" borderId="0" xfId="18" applyNumberFormat="1" applyFont="1" applyBorder="1" applyProtection="1">
      <protection locked="0"/>
    </xf>
    <xf numFmtId="165" fontId="18" fillId="3" borderId="0" xfId="18" applyNumberFormat="1" applyFont="1" applyFill="1" applyBorder="1" applyProtection="1">
      <protection locked="0"/>
    </xf>
    <xf numFmtId="37" fontId="18" fillId="0" borderId="8" xfId="3" applyNumberFormat="1" applyFont="1" applyBorder="1"/>
    <xf numFmtId="3" fontId="18" fillId="0" borderId="0" xfId="18" applyNumberFormat="1" applyFont="1" applyBorder="1" applyProtection="1">
      <protection locked="0"/>
    </xf>
    <xf numFmtId="37" fontId="18" fillId="3" borderId="0" xfId="18" applyNumberFormat="1" applyFont="1" applyFill="1" applyBorder="1" applyProtection="1">
      <protection locked="0"/>
    </xf>
    <xf numFmtId="37" fontId="18" fillId="0" borderId="0" xfId="18" applyNumberFormat="1" applyFont="1" applyBorder="1" applyProtection="1">
      <protection locked="0"/>
    </xf>
    <xf numFmtId="165" fontId="18" fillId="3" borderId="0" xfId="18" applyNumberFormat="1" applyFont="1" applyFill="1" applyBorder="1" applyProtection="1">
      <protection locked="0"/>
    </xf>
    <xf numFmtId="37" fontId="18" fillId="0" borderId="8" xfId="3" applyNumberFormat="1" applyFont="1" applyBorder="1"/>
    <xf numFmtId="37" fontId="18" fillId="0" borderId="0" xfId="3" applyNumberFormat="1" applyFont="1" applyBorder="1"/>
    <xf numFmtId="37" fontId="18" fillId="0" borderId="1" xfId="18" applyNumberFormat="1" applyFont="1" applyBorder="1" applyAlignment="1" applyProtection="1">
      <alignment horizontal="right"/>
      <protection locked="0"/>
    </xf>
    <xf numFmtId="37" fontId="18" fillId="0" borderId="0" xfId="18" applyNumberFormat="1" applyFont="1" applyBorder="1" applyAlignment="1" applyProtection="1">
      <alignment horizontal="right"/>
      <protection locked="0"/>
    </xf>
    <xf numFmtId="37" fontId="18" fillId="0" borderId="16" xfId="18" applyNumberFormat="1" applyFont="1" applyBorder="1" applyAlignment="1" applyProtection="1">
      <alignment horizontal="right"/>
      <protection locked="0"/>
    </xf>
    <xf numFmtId="37" fontId="18" fillId="3" borderId="3" xfId="18" applyNumberFormat="1" applyFont="1" applyFill="1" applyBorder="1" applyProtection="1">
      <protection locked="0"/>
    </xf>
    <xf numFmtId="37" fontId="18" fillId="0" borderId="3" xfId="18" applyNumberFormat="1" applyFont="1" applyBorder="1" applyAlignment="1" applyProtection="1">
      <alignment horizontal="right"/>
      <protection locked="0"/>
    </xf>
    <xf numFmtId="165" fontId="18" fillId="3" borderId="3" xfId="18" applyNumberFormat="1" applyFont="1" applyFill="1" applyBorder="1" applyProtection="1">
      <protection locked="0"/>
    </xf>
    <xf numFmtId="37" fontId="18" fillId="0" borderId="3" xfId="18" applyNumberFormat="1" applyFont="1" applyBorder="1" applyProtection="1">
      <protection locked="0"/>
    </xf>
    <xf numFmtId="37" fontId="18" fillId="0" borderId="3" xfId="3" applyNumberFormat="1" applyFont="1" applyBorder="1"/>
    <xf numFmtId="37" fontId="18" fillId="0" borderId="12" xfId="3" applyNumberFormat="1" applyFont="1" applyBorder="1"/>
    <xf numFmtId="3" fontId="18" fillId="0" borderId="0" xfId="18" applyNumberFormat="1" applyFont="1" applyBorder="1" applyAlignment="1" applyProtection="1">
      <alignment horizontal="right"/>
      <protection locked="0"/>
    </xf>
    <xf numFmtId="3" fontId="18" fillId="0" borderId="3" xfId="18" applyNumberFormat="1" applyFont="1" applyBorder="1" applyAlignment="1" applyProtection="1">
      <alignment horizontal="right"/>
      <protection locked="0"/>
    </xf>
    <xf numFmtId="37" fontId="18" fillId="0" borderId="1" xfId="18" applyNumberFormat="1" applyFont="1" applyBorder="1" applyProtection="1">
      <protection locked="0"/>
    </xf>
    <xf numFmtId="37" fontId="18" fillId="3" borderId="0" xfId="18" applyNumberFormat="1" applyFont="1" applyFill="1" applyBorder="1" applyProtection="1">
      <protection locked="0"/>
    </xf>
    <xf numFmtId="37" fontId="18" fillId="0" borderId="0" xfId="18" applyNumberFormat="1" applyFont="1" applyBorder="1" applyProtection="1">
      <protection locked="0"/>
    </xf>
    <xf numFmtId="165" fontId="18" fillId="3" borderId="0" xfId="18" applyNumberFormat="1" applyFont="1" applyFill="1" applyBorder="1" applyProtection="1">
      <protection locked="0"/>
    </xf>
    <xf numFmtId="37" fontId="18" fillId="0" borderId="8" xfId="3" applyNumberFormat="1" applyFont="1" applyBorder="1"/>
    <xf numFmtId="3" fontId="18" fillId="0" borderId="0" xfId="18" applyNumberFormat="1" applyFont="1" applyBorder="1" applyProtection="1">
      <protection locked="0"/>
    </xf>
    <xf numFmtId="167" fontId="18" fillId="0" borderId="1" xfId="18" applyNumberFormat="1" applyFont="1" applyBorder="1" applyProtection="1">
      <protection locked="0"/>
    </xf>
    <xf numFmtId="167" fontId="18" fillId="3" borderId="0" xfId="18" applyNumberFormat="1" applyFont="1" applyFill="1" applyBorder="1" applyProtection="1">
      <protection locked="0"/>
    </xf>
    <xf numFmtId="167" fontId="18" fillId="0" borderId="0" xfId="18" applyNumberFormat="1" applyFont="1" applyBorder="1" applyProtection="1">
      <protection locked="0"/>
    </xf>
    <xf numFmtId="167" fontId="18" fillId="0" borderId="0" xfId="3" applyNumberFormat="1" applyFont="1" applyBorder="1"/>
    <xf numFmtId="167" fontId="18" fillId="0" borderId="8" xfId="3" applyNumberFormat="1" applyFont="1" applyBorder="1"/>
    <xf numFmtId="167" fontId="18" fillId="3" borderId="0" xfId="18" applyNumberFormat="1" applyFont="1" applyFill="1" applyBorder="1" applyProtection="1">
      <protection locked="0"/>
    </xf>
    <xf numFmtId="167" fontId="18" fillId="0" borderId="0" xfId="18" applyNumberFormat="1" applyFont="1" applyBorder="1" applyProtection="1">
      <protection locked="0"/>
    </xf>
    <xf numFmtId="167" fontId="18" fillId="0" borderId="0" xfId="3" applyNumberFormat="1" applyFont="1" applyBorder="1"/>
    <xf numFmtId="167" fontId="18" fillId="0" borderId="8" xfId="3" applyNumberFormat="1" applyFont="1" applyBorder="1"/>
    <xf numFmtId="168" fontId="25" fillId="0" borderId="1" xfId="19" applyNumberFormat="1" applyFont="1" applyBorder="1"/>
    <xf numFmtId="167" fontId="18" fillId="3" borderId="0" xfId="18" applyNumberFormat="1" applyFont="1" applyFill="1" applyBorder="1" applyProtection="1">
      <protection locked="0"/>
    </xf>
    <xf numFmtId="167" fontId="18" fillId="0" borderId="0" xfId="18" applyNumberFormat="1" applyFont="1" applyBorder="1" applyProtection="1">
      <protection locked="0"/>
    </xf>
    <xf numFmtId="167" fontId="18" fillId="0" borderId="0" xfId="3" applyNumberFormat="1" applyFont="1" applyBorder="1"/>
    <xf numFmtId="167" fontId="18" fillId="0" borderId="8" xfId="3" applyNumberFormat="1" applyFont="1" applyBorder="1"/>
    <xf numFmtId="167" fontId="18" fillId="0" borderId="1" xfId="18" applyNumberFormat="1" applyFont="1" applyBorder="1" applyAlignment="1" applyProtection="1">
      <alignment horizontal="right"/>
      <protection locked="0"/>
    </xf>
    <xf numFmtId="167" fontId="18" fillId="0" borderId="0" xfId="18" applyNumberFormat="1" applyFont="1" applyBorder="1" applyAlignment="1" applyProtection="1">
      <alignment horizontal="right"/>
      <protection locked="0"/>
    </xf>
    <xf numFmtId="167" fontId="18" fillId="0" borderId="16" xfId="18" applyNumberFormat="1" applyFont="1" applyBorder="1" applyAlignment="1" applyProtection="1">
      <alignment horizontal="right"/>
      <protection locked="0"/>
    </xf>
    <xf numFmtId="167" fontId="18" fillId="3" borderId="3" xfId="18" applyNumberFormat="1" applyFont="1" applyFill="1" applyBorder="1" applyProtection="1">
      <protection locked="0"/>
    </xf>
    <xf numFmtId="167" fontId="18" fillId="0" borderId="3" xfId="18" applyNumberFormat="1" applyFont="1" applyBorder="1" applyAlignment="1" applyProtection="1">
      <alignment horizontal="right"/>
      <protection locked="0"/>
    </xf>
    <xf numFmtId="167" fontId="18" fillId="0" borderId="3" xfId="18" applyNumberFormat="1" applyFont="1" applyBorder="1" applyProtection="1">
      <protection locked="0"/>
    </xf>
    <xf numFmtId="167" fontId="18" fillId="0" borderId="3" xfId="3" applyNumberFormat="1" applyFont="1" applyBorder="1"/>
    <xf numFmtId="167" fontId="18" fillId="0" borderId="12" xfId="3" applyNumberFormat="1" applyFont="1" applyBorder="1"/>
    <xf numFmtId="0" fontId="15" fillId="0" borderId="0" xfId="3" applyFont="1"/>
    <xf numFmtId="0" fontId="15" fillId="0" borderId="0" xfId="3" applyFont="1" applyAlignment="1">
      <alignment horizontal="center"/>
    </xf>
    <xf numFmtId="0" fontId="18" fillId="0" borderId="7" xfId="3" applyNumberFormat="1" applyFont="1" applyBorder="1" applyAlignment="1" applyProtection="1">
      <alignment horizontal="left"/>
      <protection locked="0"/>
    </xf>
    <xf numFmtId="164" fontId="15" fillId="0" borderId="1" xfId="1" applyNumberFormat="1" applyFont="1" applyBorder="1"/>
    <xf numFmtId="164" fontId="15" fillId="3" borderId="0" xfId="1" applyNumberFormat="1" applyFont="1" applyFill="1" applyBorder="1"/>
    <xf numFmtId="164" fontId="15" fillId="0" borderId="0" xfId="1" applyNumberFormat="1" applyFont="1" applyBorder="1"/>
    <xf numFmtId="164" fontId="18" fillId="3" borderId="0" xfId="1" applyNumberFormat="1" applyFont="1" applyFill="1" applyBorder="1" applyProtection="1">
      <protection locked="0"/>
    </xf>
    <xf numFmtId="164" fontId="18" fillId="3" borderId="3" xfId="1" applyNumberFormat="1" applyFont="1" applyFill="1" applyBorder="1" applyProtection="1">
      <protection locked="0"/>
    </xf>
    <xf numFmtId="164" fontId="15" fillId="3" borderId="5" xfId="1" applyNumberFormat="1" applyFont="1" applyFill="1" applyBorder="1"/>
    <xf numFmtId="164" fontId="15" fillId="0" borderId="0" xfId="1" applyNumberFormat="1" applyFont="1" applyBorder="1" applyProtection="1">
      <protection locked="0"/>
    </xf>
    <xf numFmtId="0" fontId="15" fillId="0" borderId="14" xfId="3" applyNumberFormat="1" applyFont="1" applyBorder="1" applyAlignment="1" applyProtection="1">
      <alignment horizontal="center"/>
      <protection locked="0"/>
    </xf>
    <xf numFmtId="0" fontId="15" fillId="3" borderId="5" xfId="3" applyFont="1" applyFill="1" applyBorder="1" applyAlignment="1">
      <alignment horizontal="center"/>
    </xf>
    <xf numFmtId="0" fontId="15" fillId="0" borderId="5" xfId="3" applyNumberFormat="1" applyFont="1" applyBorder="1" applyAlignment="1" applyProtection="1">
      <alignment horizontal="center"/>
      <protection locked="0"/>
    </xf>
    <xf numFmtId="38" fontId="15" fillId="0" borderId="5" xfId="3" applyNumberFormat="1" applyFont="1" applyBorder="1" applyAlignment="1" applyProtection="1">
      <alignment horizontal="center"/>
      <protection locked="0"/>
    </xf>
    <xf numFmtId="0" fontId="15" fillId="0" borderId="5" xfId="3" applyFont="1" applyBorder="1" applyAlignment="1">
      <alignment horizontal="center"/>
    </xf>
    <xf numFmtId="0" fontId="15" fillId="5" borderId="5" xfId="3" applyFont="1" applyFill="1" applyBorder="1" applyAlignment="1">
      <alignment horizontal="center"/>
    </xf>
    <xf numFmtId="0" fontId="15" fillId="5" borderId="6" xfId="3" applyFont="1" applyFill="1" applyBorder="1" applyAlignment="1">
      <alignment horizontal="center"/>
    </xf>
    <xf numFmtId="0" fontId="15" fillId="0" borderId="4" xfId="3" applyFont="1" applyFill="1" applyBorder="1" applyAlignment="1">
      <alignment horizontal="center"/>
    </xf>
    <xf numFmtId="0" fontId="15" fillId="3" borderId="5" xfId="3" applyFont="1" applyFill="1" applyBorder="1" applyAlignment="1">
      <alignment horizontal="centerContinuous"/>
    </xf>
    <xf numFmtId="0" fontId="15" fillId="0" borderId="5" xfId="3" applyFont="1" applyFill="1" applyBorder="1" applyAlignment="1">
      <alignment horizontal="center"/>
    </xf>
    <xf numFmtId="0" fontId="15" fillId="0" borderId="6" xfId="3" applyFont="1" applyFill="1" applyBorder="1" applyAlignment="1">
      <alignment horizontal="center"/>
    </xf>
    <xf numFmtId="0" fontId="15" fillId="0" borderId="9" xfId="3" applyFont="1" applyBorder="1" applyAlignment="1">
      <alignment horizontal="center"/>
    </xf>
    <xf numFmtId="0" fontId="15" fillId="0" borderId="15" xfId="3" applyNumberFormat="1" applyFont="1" applyBorder="1" applyAlignment="1" applyProtection="1">
      <alignment horizontal="center"/>
      <protection locked="0"/>
    </xf>
    <xf numFmtId="0" fontId="15" fillId="3" borderId="2" xfId="3" applyFont="1" applyFill="1" applyBorder="1" applyAlignment="1">
      <alignment horizontal="center"/>
    </xf>
    <xf numFmtId="0" fontId="15" fillId="0" borderId="2" xfId="3" applyNumberFormat="1" applyFont="1" applyBorder="1" applyAlignment="1" applyProtection="1">
      <alignment horizontal="center"/>
      <protection locked="0"/>
    </xf>
    <xf numFmtId="38" fontId="15" fillId="0" borderId="2" xfId="3" applyNumberFormat="1" applyFont="1" applyBorder="1" applyAlignment="1" applyProtection="1">
      <alignment horizontal="center"/>
      <protection locked="0"/>
    </xf>
    <xf numFmtId="0" fontId="15" fillId="0" borderId="2" xfId="3" applyFont="1" applyBorder="1" applyAlignment="1">
      <alignment horizontal="center"/>
    </xf>
    <xf numFmtId="0" fontId="15" fillId="5" borderId="2" xfId="3" applyFont="1" applyFill="1" applyBorder="1" applyAlignment="1">
      <alignment horizontal="center"/>
    </xf>
    <xf numFmtId="0" fontId="15" fillId="5" borderId="10" xfId="3" applyFont="1" applyFill="1" applyBorder="1" applyAlignment="1">
      <alignment horizontal="center"/>
    </xf>
    <xf numFmtId="0" fontId="15" fillId="0" borderId="9" xfId="3" applyFont="1" applyFill="1" applyBorder="1" applyAlignment="1">
      <alignment horizontal="center"/>
    </xf>
    <xf numFmtId="0" fontId="15" fillId="3" borderId="2" xfId="3" applyFont="1" applyFill="1" applyBorder="1"/>
    <xf numFmtId="0" fontId="15" fillId="0" borderId="2" xfId="3" applyFont="1" applyFill="1" applyBorder="1" applyAlignment="1">
      <alignment horizontal="center"/>
    </xf>
    <xf numFmtId="0" fontId="15" fillId="0" borderId="10" xfId="3" applyFont="1" applyFill="1" applyBorder="1" applyAlignment="1">
      <alignment horizontal="center"/>
    </xf>
    <xf numFmtId="0" fontId="16" fillId="0" borderId="4" xfId="3" applyFont="1" applyBorder="1" applyAlignment="1">
      <alignment horizontal="left"/>
    </xf>
    <xf numFmtId="0" fontId="18" fillId="0" borderId="7" xfId="3" applyFont="1" applyBorder="1" applyAlignment="1">
      <alignment horizontal="left"/>
    </xf>
    <xf numFmtId="0" fontId="18" fillId="3" borderId="7" xfId="3" applyFont="1" applyFill="1" applyBorder="1" applyAlignment="1">
      <alignment horizontal="left"/>
    </xf>
    <xf numFmtId="0" fontId="15" fillId="0" borderId="7" xfId="3" applyFont="1" applyBorder="1" applyAlignment="1">
      <alignment horizontal="left"/>
    </xf>
    <xf numFmtId="0" fontId="18" fillId="0" borderId="9" xfId="3" applyFont="1" applyBorder="1" applyAlignment="1">
      <alignment horizontal="left"/>
    </xf>
    <xf numFmtId="37" fontId="18" fillId="0" borderId="1" xfId="18" applyNumberFormat="1" applyFont="1" applyBorder="1" applyProtection="1">
      <protection locked="0"/>
    </xf>
    <xf numFmtId="37" fontId="18" fillId="3" borderId="0" xfId="18" applyNumberFormat="1" applyFont="1" applyFill="1" applyBorder="1" applyProtection="1">
      <protection locked="0"/>
    </xf>
    <xf numFmtId="37" fontId="18" fillId="0" borderId="0" xfId="18" applyNumberFormat="1" applyFont="1" applyBorder="1" applyProtection="1">
      <protection locked="0"/>
    </xf>
    <xf numFmtId="165" fontId="18" fillId="3" borderId="0" xfId="18" applyNumberFormat="1" applyFont="1" applyFill="1" applyBorder="1" applyProtection="1">
      <protection locked="0"/>
    </xf>
    <xf numFmtId="37" fontId="18" fillId="0" borderId="8" xfId="3" applyNumberFormat="1" applyFont="1" applyBorder="1"/>
    <xf numFmtId="3" fontId="18" fillId="0" borderId="0" xfId="18" applyNumberFormat="1" applyFont="1" applyBorder="1" applyProtection="1">
      <protection locked="0"/>
    </xf>
    <xf numFmtId="3" fontId="18" fillId="0" borderId="0" xfId="18" applyNumberFormat="1" applyFont="1" applyBorder="1"/>
    <xf numFmtId="37" fontId="18" fillId="0" borderId="1" xfId="18" applyNumberFormat="1" applyFont="1" applyBorder="1" applyProtection="1">
      <protection locked="0"/>
    </xf>
    <xf numFmtId="37" fontId="18" fillId="3" borderId="0" xfId="18" applyNumberFormat="1" applyFont="1" applyFill="1" applyBorder="1" applyProtection="1">
      <protection locked="0"/>
    </xf>
    <xf numFmtId="37" fontId="18" fillId="0" borderId="0" xfId="18" applyNumberFormat="1" applyFont="1" applyBorder="1" applyProtection="1">
      <protection locked="0"/>
    </xf>
    <xf numFmtId="165" fontId="18" fillId="3" borderId="0" xfId="18" applyNumberFormat="1" applyFont="1" applyFill="1" applyBorder="1" applyProtection="1">
      <protection locked="0"/>
    </xf>
    <xf numFmtId="37" fontId="18" fillId="0" borderId="8" xfId="3" applyNumberFormat="1" applyFont="1" applyBorder="1"/>
    <xf numFmtId="37" fontId="18" fillId="0" borderId="0" xfId="3" applyNumberFormat="1" applyFont="1" applyBorder="1"/>
    <xf numFmtId="3" fontId="18" fillId="0" borderId="0" xfId="18" applyNumberFormat="1" applyFont="1" applyBorder="1" applyProtection="1">
      <protection locked="0"/>
    </xf>
    <xf numFmtId="37" fontId="18" fillId="3" borderId="0" xfId="18" applyNumberFormat="1" applyFont="1" applyFill="1" applyBorder="1" applyProtection="1">
      <protection locked="0"/>
    </xf>
    <xf numFmtId="37" fontId="18" fillId="0" borderId="0" xfId="18" applyNumberFormat="1" applyFont="1" applyBorder="1" applyProtection="1">
      <protection locked="0"/>
    </xf>
    <xf numFmtId="165" fontId="18" fillId="3" borderId="0" xfId="18" applyNumberFormat="1" applyFont="1" applyFill="1" applyBorder="1" applyProtection="1">
      <protection locked="0"/>
    </xf>
    <xf numFmtId="37" fontId="18" fillId="0" borderId="8" xfId="3" applyNumberFormat="1" applyFont="1" applyBorder="1"/>
    <xf numFmtId="37" fontId="18" fillId="0" borderId="0" xfId="3" applyNumberFormat="1" applyFont="1" applyBorder="1"/>
    <xf numFmtId="37" fontId="18" fillId="0" borderId="1" xfId="18" applyNumberFormat="1" applyFont="1" applyBorder="1" applyAlignment="1" applyProtection="1">
      <alignment horizontal="right"/>
      <protection locked="0"/>
    </xf>
    <xf numFmtId="37" fontId="18" fillId="0" borderId="0" xfId="18" applyNumberFormat="1" applyFont="1" applyBorder="1" applyAlignment="1" applyProtection="1">
      <alignment horizontal="right"/>
      <protection locked="0"/>
    </xf>
    <xf numFmtId="37" fontId="18" fillId="0" borderId="16" xfId="18" applyNumberFormat="1" applyFont="1" applyBorder="1" applyAlignment="1" applyProtection="1">
      <alignment horizontal="right"/>
      <protection locked="0"/>
    </xf>
    <xf numFmtId="37" fontId="18" fillId="3" borderId="3" xfId="18" applyNumberFormat="1" applyFont="1" applyFill="1" applyBorder="1" applyProtection="1">
      <protection locked="0"/>
    </xf>
    <xf numFmtId="37" fontId="18" fillId="0" borderId="3" xfId="18" applyNumberFormat="1" applyFont="1" applyBorder="1" applyAlignment="1" applyProtection="1">
      <alignment horizontal="right"/>
      <protection locked="0"/>
    </xf>
    <xf numFmtId="165" fontId="18" fillId="3" borderId="3" xfId="18" applyNumberFormat="1" applyFont="1" applyFill="1" applyBorder="1" applyProtection="1">
      <protection locked="0"/>
    </xf>
    <xf numFmtId="37" fontId="18" fillId="0" borderId="3" xfId="18" applyNumberFormat="1" applyFont="1" applyBorder="1" applyProtection="1">
      <protection locked="0"/>
    </xf>
    <xf numFmtId="37" fontId="18" fillId="0" borderId="3" xfId="3" applyNumberFormat="1" applyFont="1" applyBorder="1"/>
    <xf numFmtId="37" fontId="18" fillId="0" borderId="12" xfId="3" applyNumberFormat="1" applyFont="1" applyBorder="1"/>
    <xf numFmtId="3" fontId="18" fillId="0" borderId="0" xfId="18" applyNumberFormat="1" applyFont="1" applyBorder="1" applyAlignment="1" applyProtection="1">
      <alignment horizontal="right"/>
      <protection locked="0"/>
    </xf>
    <xf numFmtId="3" fontId="18" fillId="0" borderId="3" xfId="18" applyNumberFormat="1" applyFont="1" applyBorder="1" applyAlignment="1" applyProtection="1">
      <alignment horizontal="right"/>
      <protection locked="0"/>
    </xf>
    <xf numFmtId="167" fontId="18" fillId="0" borderId="1" xfId="18" applyNumberFormat="1" applyFont="1" applyBorder="1" applyProtection="1">
      <protection locked="0"/>
    </xf>
    <xf numFmtId="167" fontId="18" fillId="3" borderId="0" xfId="18" applyNumberFormat="1" applyFont="1" applyFill="1" applyBorder="1" applyProtection="1">
      <protection locked="0"/>
    </xf>
    <xf numFmtId="167" fontId="18" fillId="0" borderId="0" xfId="18" applyNumberFormat="1" applyFont="1" applyBorder="1" applyProtection="1">
      <protection locked="0"/>
    </xf>
    <xf numFmtId="167" fontId="18" fillId="0" borderId="0" xfId="3" applyNumberFormat="1" applyFont="1" applyBorder="1"/>
    <xf numFmtId="167" fontId="18" fillId="0" borderId="8" xfId="3" applyNumberFormat="1" applyFont="1" applyBorder="1"/>
    <xf numFmtId="167" fontId="18" fillId="3" borderId="0" xfId="18" applyNumberFormat="1" applyFont="1" applyFill="1" applyBorder="1" applyProtection="1">
      <protection locked="0"/>
    </xf>
    <xf numFmtId="167" fontId="18" fillId="0" borderId="0" xfId="18" applyNumberFormat="1" applyFont="1" applyBorder="1" applyProtection="1">
      <protection locked="0"/>
    </xf>
    <xf numFmtId="167" fontId="18" fillId="0" borderId="0" xfId="3" applyNumberFormat="1" applyFont="1" applyBorder="1"/>
    <xf numFmtId="167" fontId="18" fillId="0" borderId="8" xfId="3" applyNumberFormat="1" applyFont="1" applyBorder="1"/>
    <xf numFmtId="168" fontId="25" fillId="0" borderId="1" xfId="19" applyNumberFormat="1" applyFont="1" applyBorder="1"/>
    <xf numFmtId="167" fontId="18" fillId="3" borderId="0" xfId="18" applyNumberFormat="1" applyFont="1" applyFill="1" applyBorder="1" applyProtection="1">
      <protection locked="0"/>
    </xf>
    <xf numFmtId="167" fontId="18" fillId="0" borderId="0" xfId="18" applyNumberFormat="1" applyFont="1" applyBorder="1" applyProtection="1">
      <protection locked="0"/>
    </xf>
    <xf numFmtId="167" fontId="18" fillId="0" borderId="0" xfId="3" applyNumberFormat="1" applyFont="1" applyBorder="1"/>
    <xf numFmtId="167" fontId="18" fillId="0" borderId="8" xfId="3" applyNumberFormat="1" applyFont="1" applyBorder="1"/>
    <xf numFmtId="167" fontId="18" fillId="0" borderId="1" xfId="18" applyNumberFormat="1" applyFont="1" applyBorder="1" applyAlignment="1" applyProtection="1">
      <alignment horizontal="right"/>
      <protection locked="0"/>
    </xf>
    <xf numFmtId="167" fontId="18" fillId="0" borderId="0" xfId="18" applyNumberFormat="1" applyFont="1" applyBorder="1" applyAlignment="1" applyProtection="1">
      <alignment horizontal="right"/>
      <protection locked="0"/>
    </xf>
    <xf numFmtId="167" fontId="18" fillId="0" borderId="16" xfId="18" applyNumberFormat="1" applyFont="1" applyBorder="1" applyAlignment="1" applyProtection="1">
      <alignment horizontal="right"/>
      <protection locked="0"/>
    </xf>
    <xf numFmtId="167" fontId="18" fillId="3" borderId="3" xfId="18" applyNumberFormat="1" applyFont="1" applyFill="1" applyBorder="1" applyProtection="1">
      <protection locked="0"/>
    </xf>
    <xf numFmtId="167" fontId="18" fillId="0" borderId="3" xfId="18" applyNumberFormat="1" applyFont="1" applyBorder="1" applyAlignment="1" applyProtection="1">
      <alignment horizontal="right"/>
      <protection locked="0"/>
    </xf>
    <xf numFmtId="167" fontId="18" fillId="0" borderId="3" xfId="18" applyNumberFormat="1" applyFont="1" applyBorder="1" applyProtection="1">
      <protection locked="0"/>
    </xf>
    <xf numFmtId="167" fontId="18" fillId="0" borderId="3" xfId="3" applyNumberFormat="1" applyFont="1" applyBorder="1"/>
    <xf numFmtId="167" fontId="18" fillId="0" borderId="12" xfId="3" applyNumberFormat="1" applyFont="1" applyBorder="1"/>
    <xf numFmtId="0" fontId="15" fillId="0" borderId="0" xfId="3" applyFont="1"/>
    <xf numFmtId="0" fontId="15" fillId="0" borderId="0" xfId="3" applyFont="1" applyAlignment="1">
      <alignment horizontal="center"/>
    </xf>
    <xf numFmtId="0" fontId="18" fillId="0" borderId="7" xfId="3" applyNumberFormat="1" applyFont="1" applyBorder="1" applyAlignment="1" applyProtection="1">
      <alignment horizontal="left"/>
      <protection locked="0"/>
    </xf>
    <xf numFmtId="164" fontId="15" fillId="0" borderId="1" xfId="1" applyNumberFormat="1" applyFont="1" applyBorder="1"/>
    <xf numFmtId="164" fontId="15" fillId="3" borderId="0" xfId="1" applyNumberFormat="1" applyFont="1" applyFill="1" applyBorder="1"/>
    <xf numFmtId="164" fontId="15" fillId="0" borderId="0" xfId="1" applyNumberFormat="1" applyFont="1" applyBorder="1"/>
    <xf numFmtId="164" fontId="18" fillId="3" borderId="0" xfId="1" applyNumberFormat="1" applyFont="1" applyFill="1" applyBorder="1" applyProtection="1">
      <protection locked="0"/>
    </xf>
    <xf numFmtId="164" fontId="18" fillId="3" borderId="3" xfId="1" applyNumberFormat="1" applyFont="1" applyFill="1" applyBorder="1" applyProtection="1">
      <protection locked="0"/>
    </xf>
    <xf numFmtId="164" fontId="15" fillId="3" borderId="5" xfId="1" applyNumberFormat="1" applyFont="1" applyFill="1" applyBorder="1"/>
    <xf numFmtId="164" fontId="15" fillId="0" borderId="0" xfId="1" applyNumberFormat="1" applyFont="1" applyBorder="1" applyProtection="1">
      <protection locked="0"/>
    </xf>
    <xf numFmtId="0" fontId="15" fillId="0" borderId="14" xfId="3" applyNumberFormat="1" applyFont="1" applyBorder="1" applyAlignment="1" applyProtection="1">
      <alignment horizontal="center"/>
      <protection locked="0"/>
    </xf>
    <xf numFmtId="0" fontId="15" fillId="3" borderId="5" xfId="3" applyFont="1" applyFill="1" applyBorder="1" applyAlignment="1">
      <alignment horizontal="center"/>
    </xf>
    <xf numFmtId="0" fontId="15" fillId="0" borderId="5" xfId="3" applyNumberFormat="1" applyFont="1" applyBorder="1" applyAlignment="1" applyProtection="1">
      <alignment horizontal="center"/>
      <protection locked="0"/>
    </xf>
    <xf numFmtId="38" fontId="15" fillId="0" borderId="5" xfId="3" applyNumberFormat="1" applyFont="1" applyBorder="1" applyAlignment="1" applyProtection="1">
      <alignment horizontal="center"/>
      <protection locked="0"/>
    </xf>
    <xf numFmtId="0" fontId="15" fillId="0" borderId="5" xfId="3" applyFont="1" applyBorder="1" applyAlignment="1">
      <alignment horizontal="center"/>
    </xf>
    <xf numFmtId="0" fontId="15" fillId="5" borderId="5" xfId="3" applyFont="1" applyFill="1" applyBorder="1" applyAlignment="1">
      <alignment horizontal="center"/>
    </xf>
    <xf numFmtId="0" fontId="15" fillId="5" borderId="6" xfId="3" applyFont="1" applyFill="1" applyBorder="1" applyAlignment="1">
      <alignment horizontal="center"/>
    </xf>
    <xf numFmtId="0" fontId="15" fillId="0" borderId="4" xfId="3" applyFont="1" applyFill="1" applyBorder="1" applyAlignment="1">
      <alignment horizontal="center"/>
    </xf>
    <xf numFmtId="0" fontId="15" fillId="3" borderId="5" xfId="3" applyFont="1" applyFill="1" applyBorder="1" applyAlignment="1">
      <alignment horizontal="centerContinuous"/>
    </xf>
    <xf numFmtId="0" fontId="15" fillId="0" borderId="5" xfId="3" applyFont="1" applyFill="1" applyBorder="1" applyAlignment="1">
      <alignment horizontal="center"/>
    </xf>
    <xf numFmtId="0" fontId="15" fillId="0" borderId="6" xfId="3" applyFont="1" applyFill="1" applyBorder="1" applyAlignment="1">
      <alignment horizontal="center"/>
    </xf>
    <xf numFmtId="0" fontId="15" fillId="0" borderId="9" xfId="3" applyFont="1" applyBorder="1" applyAlignment="1">
      <alignment horizontal="center"/>
    </xf>
    <xf numFmtId="0" fontId="15" fillId="0" borderId="15" xfId="3" applyNumberFormat="1" applyFont="1" applyBorder="1" applyAlignment="1" applyProtection="1">
      <alignment horizontal="center"/>
      <protection locked="0"/>
    </xf>
    <xf numFmtId="0" fontId="15" fillId="3" borderId="2" xfId="3" applyFont="1" applyFill="1" applyBorder="1" applyAlignment="1">
      <alignment horizontal="center"/>
    </xf>
    <xf numFmtId="0" fontId="15" fillId="0" borderId="2" xfId="3" applyNumberFormat="1" applyFont="1" applyBorder="1" applyAlignment="1" applyProtection="1">
      <alignment horizontal="center"/>
      <protection locked="0"/>
    </xf>
    <xf numFmtId="38" fontId="15" fillId="0" borderId="2" xfId="3" applyNumberFormat="1" applyFont="1" applyBorder="1" applyAlignment="1" applyProtection="1">
      <alignment horizontal="center"/>
      <protection locked="0"/>
    </xf>
    <xf numFmtId="0" fontId="15" fillId="0" borderId="2" xfId="3" applyFont="1" applyBorder="1" applyAlignment="1">
      <alignment horizontal="center"/>
    </xf>
    <xf numFmtId="0" fontId="15" fillId="5" borderId="2" xfId="3" applyFont="1" applyFill="1" applyBorder="1" applyAlignment="1">
      <alignment horizontal="center"/>
    </xf>
    <xf numFmtId="0" fontId="15" fillId="5" borderId="10" xfId="3" applyFont="1" applyFill="1" applyBorder="1" applyAlignment="1">
      <alignment horizontal="center"/>
    </xf>
    <xf numFmtId="0" fontId="15" fillId="0" borderId="9" xfId="3" applyFont="1" applyFill="1" applyBorder="1" applyAlignment="1">
      <alignment horizontal="center"/>
    </xf>
    <xf numFmtId="0" fontId="15" fillId="3" borderId="2" xfId="3" applyFont="1" applyFill="1" applyBorder="1"/>
    <xf numFmtId="0" fontId="15" fillId="0" borderId="2" xfId="3" applyFont="1" applyFill="1" applyBorder="1" applyAlignment="1">
      <alignment horizontal="center"/>
    </xf>
    <xf numFmtId="0" fontId="15" fillId="0" borderId="10" xfId="3" applyFont="1" applyFill="1" applyBorder="1" applyAlignment="1">
      <alignment horizontal="center"/>
    </xf>
    <xf numFmtId="0" fontId="16" fillId="0" borderId="4" xfId="3" applyFont="1" applyBorder="1" applyAlignment="1">
      <alignment horizontal="left"/>
    </xf>
    <xf numFmtId="165" fontId="15" fillId="3" borderId="0" xfId="18" applyNumberFormat="1" applyFont="1" applyFill="1" applyBorder="1"/>
    <xf numFmtId="37" fontId="18" fillId="3" borderId="0" xfId="18" applyNumberFormat="1" applyFont="1" applyFill="1" applyBorder="1" applyProtection="1">
      <protection locked="0"/>
    </xf>
    <xf numFmtId="37" fontId="18" fillId="0" borderId="0" xfId="18" applyNumberFormat="1" applyFont="1" applyBorder="1" applyProtection="1">
      <protection locked="0"/>
    </xf>
    <xf numFmtId="165" fontId="18" fillId="3" borderId="0" xfId="18" applyNumberFormat="1" applyFont="1" applyFill="1" applyBorder="1" applyProtection="1">
      <protection locked="0"/>
    </xf>
    <xf numFmtId="37" fontId="18" fillId="0" borderId="8" xfId="3" applyNumberFormat="1" applyFont="1" applyBorder="1"/>
    <xf numFmtId="37" fontId="18" fillId="0" borderId="0" xfId="3" applyNumberFormat="1" applyFont="1" applyBorder="1"/>
    <xf numFmtId="0" fontId="18" fillId="0" borderId="7" xfId="3" applyFont="1" applyBorder="1" applyAlignment="1">
      <alignment horizontal="left"/>
    </xf>
    <xf numFmtId="37" fontId="18" fillId="0" borderId="1" xfId="18" applyNumberFormat="1" applyFont="1" applyBorder="1" applyAlignment="1" applyProtection="1">
      <alignment horizontal="right"/>
      <protection locked="0"/>
    </xf>
    <xf numFmtId="37" fontId="18" fillId="0" borderId="0" xfId="18" applyNumberFormat="1" applyFont="1" applyBorder="1" applyAlignment="1" applyProtection="1">
      <alignment horizontal="right"/>
      <protection locked="0"/>
    </xf>
    <xf numFmtId="37" fontId="18" fillId="0" borderId="16" xfId="18" applyNumberFormat="1" applyFont="1" applyBorder="1" applyAlignment="1" applyProtection="1">
      <alignment horizontal="right"/>
      <protection locked="0"/>
    </xf>
    <xf numFmtId="37" fontId="18" fillId="3" borderId="3" xfId="18" applyNumberFormat="1" applyFont="1" applyFill="1" applyBorder="1" applyProtection="1">
      <protection locked="0"/>
    </xf>
    <xf numFmtId="37" fontId="18" fillId="0" borderId="3" xfId="18" applyNumberFormat="1" applyFont="1" applyBorder="1" applyAlignment="1" applyProtection="1">
      <alignment horizontal="right"/>
      <protection locked="0"/>
    </xf>
    <xf numFmtId="165" fontId="18" fillId="3" borderId="3" xfId="18" applyNumberFormat="1" applyFont="1" applyFill="1" applyBorder="1" applyProtection="1">
      <protection locked="0"/>
    </xf>
    <xf numFmtId="37" fontId="18" fillId="0" borderId="3" xfId="18" applyNumberFormat="1" applyFont="1" applyBorder="1" applyProtection="1">
      <protection locked="0"/>
    </xf>
    <xf numFmtId="37" fontId="18" fillId="0" borderId="3" xfId="3" applyNumberFormat="1" applyFont="1" applyBorder="1"/>
    <xf numFmtId="37" fontId="18" fillId="0" borderId="12" xfId="3" applyNumberFormat="1" applyFont="1" applyBorder="1"/>
    <xf numFmtId="0" fontId="18" fillId="3" borderId="7" xfId="3" applyFont="1" applyFill="1" applyBorder="1" applyAlignment="1">
      <alignment horizontal="left"/>
    </xf>
    <xf numFmtId="167" fontId="18" fillId="3" borderId="0" xfId="18" applyNumberFormat="1" applyFont="1" applyFill="1" applyBorder="1" applyProtection="1">
      <protection locked="0"/>
    </xf>
    <xf numFmtId="167" fontId="18" fillId="0" borderId="0" xfId="18" applyNumberFormat="1" applyFont="1" applyBorder="1" applyProtection="1">
      <protection locked="0"/>
    </xf>
    <xf numFmtId="167" fontId="18" fillId="0" borderId="0" xfId="3" applyNumberFormat="1" applyFont="1" applyBorder="1"/>
    <xf numFmtId="167" fontId="18" fillId="0" borderId="8" xfId="3" applyNumberFormat="1" applyFont="1" applyBorder="1"/>
    <xf numFmtId="167" fontId="18" fillId="0" borderId="1" xfId="18" applyNumberFormat="1" applyFont="1" applyBorder="1" applyAlignment="1" applyProtection="1">
      <alignment horizontal="right"/>
      <protection locked="0"/>
    </xf>
    <xf numFmtId="167" fontId="18" fillId="0" borderId="0" xfId="18" applyNumberFormat="1" applyFont="1" applyBorder="1" applyAlignment="1" applyProtection="1">
      <alignment horizontal="right"/>
      <protection locked="0"/>
    </xf>
    <xf numFmtId="167" fontId="18" fillId="0" borderId="16" xfId="18" applyNumberFormat="1" applyFont="1" applyBorder="1" applyAlignment="1" applyProtection="1">
      <alignment horizontal="right"/>
      <protection locked="0"/>
    </xf>
    <xf numFmtId="167" fontId="18" fillId="3" borderId="3" xfId="18" applyNumberFormat="1" applyFont="1" applyFill="1" applyBorder="1" applyProtection="1">
      <protection locked="0"/>
    </xf>
    <xf numFmtId="167" fontId="18" fillId="0" borderId="3" xfId="18" applyNumberFormat="1" applyFont="1" applyBorder="1" applyAlignment="1" applyProtection="1">
      <alignment horizontal="right"/>
      <protection locked="0"/>
    </xf>
    <xf numFmtId="167" fontId="18" fillId="0" borderId="3" xfId="18" applyNumberFormat="1" applyFont="1" applyBorder="1" applyProtection="1">
      <protection locked="0"/>
    </xf>
    <xf numFmtId="167" fontId="18" fillId="0" borderId="3" xfId="3" applyNumberFormat="1" applyFont="1" applyBorder="1"/>
    <xf numFmtId="167" fontId="18" fillId="0" borderId="12" xfId="3" applyNumberFormat="1" applyFont="1" applyBorder="1"/>
    <xf numFmtId="0" fontId="15" fillId="0" borderId="7" xfId="3" applyFont="1" applyBorder="1" applyAlignment="1">
      <alignment horizontal="left"/>
    </xf>
    <xf numFmtId="37" fontId="18" fillId="0" borderId="1" xfId="18" applyNumberFormat="1" applyFont="1" applyBorder="1" applyAlignment="1" applyProtection="1">
      <alignment horizontal="center"/>
      <protection locked="0"/>
    </xf>
    <xf numFmtId="37" fontId="18" fillId="3" borderId="0" xfId="18" applyNumberFormat="1" applyFont="1" applyFill="1" applyBorder="1"/>
    <xf numFmtId="37" fontId="18" fillId="0" borderId="0" xfId="18" applyNumberFormat="1" applyFont="1" applyBorder="1" applyAlignment="1" applyProtection="1">
      <alignment horizontal="center"/>
      <protection locked="0"/>
    </xf>
    <xf numFmtId="37" fontId="18" fillId="0" borderId="0" xfId="18" applyNumberFormat="1" applyFont="1" applyBorder="1" applyAlignment="1">
      <alignment horizontal="center"/>
    </xf>
    <xf numFmtId="0" fontId="18" fillId="0" borderId="9" xfId="3" applyFont="1" applyBorder="1" applyAlignment="1">
      <alignment horizontal="left"/>
    </xf>
    <xf numFmtId="167" fontId="18" fillId="0" borderId="15" xfId="18" applyNumberFormat="1" applyFont="1" applyBorder="1" applyAlignment="1" applyProtection="1">
      <alignment horizontal="center"/>
      <protection locked="0"/>
    </xf>
    <xf numFmtId="167" fontId="18" fillId="3" borderId="2" xfId="18" applyNumberFormat="1" applyFont="1" applyFill="1" applyBorder="1"/>
    <xf numFmtId="167" fontId="18" fillId="0" borderId="2" xfId="18" applyNumberFormat="1" applyFont="1" applyBorder="1" applyAlignment="1" applyProtection="1">
      <alignment horizontal="center"/>
      <protection locked="0"/>
    </xf>
    <xf numFmtId="167" fontId="18" fillId="0" borderId="2" xfId="18" applyNumberFormat="1" applyFont="1" applyBorder="1" applyAlignment="1">
      <alignment horizontal="center"/>
    </xf>
    <xf numFmtId="165" fontId="15" fillId="3" borderId="2" xfId="18" applyNumberFormat="1" applyFont="1" applyFill="1" applyBorder="1"/>
    <xf numFmtId="3" fontId="18" fillId="0" borderId="0" xfId="18" applyNumberFormat="1" applyFont="1" applyBorder="1" applyAlignment="1" applyProtection="1">
      <alignment horizontal="right"/>
      <protection locked="0"/>
    </xf>
    <xf numFmtId="3" fontId="18" fillId="0" borderId="3" xfId="18" applyNumberFormat="1" applyFont="1" applyBorder="1" applyAlignment="1" applyProtection="1">
      <alignment horizontal="right"/>
      <protection locked="0"/>
    </xf>
    <xf numFmtId="0" fontId="15" fillId="2" borderId="17" xfId="3" applyFont="1" applyFill="1" applyBorder="1" applyAlignment="1">
      <alignment horizontal="center"/>
    </xf>
    <xf numFmtId="37" fontId="18" fillId="0" borderId="1" xfId="18" applyNumberFormat="1" applyFont="1" applyBorder="1" applyProtection="1">
      <protection locked="0"/>
    </xf>
    <xf numFmtId="37" fontId="18" fillId="3" borderId="0" xfId="18" applyNumberFormat="1" applyFont="1" applyFill="1" applyBorder="1" applyProtection="1">
      <protection locked="0"/>
    </xf>
    <xf numFmtId="37" fontId="18" fillId="0" borderId="0" xfId="18" applyNumberFormat="1" applyFont="1" applyBorder="1" applyProtection="1">
      <protection locked="0"/>
    </xf>
    <xf numFmtId="165" fontId="18" fillId="3" borderId="0" xfId="18" applyNumberFormat="1" applyFont="1" applyFill="1" applyBorder="1" applyProtection="1">
      <protection locked="0"/>
    </xf>
    <xf numFmtId="37" fontId="18" fillId="0" borderId="8" xfId="3" applyNumberFormat="1" applyFont="1" applyBorder="1"/>
    <xf numFmtId="3" fontId="18" fillId="0" borderId="0" xfId="18" applyNumberFormat="1" applyFont="1" applyBorder="1" applyProtection="1">
      <protection locked="0"/>
    </xf>
    <xf numFmtId="37" fontId="18" fillId="0" borderId="1" xfId="18" applyNumberFormat="1" applyFont="1" applyBorder="1" applyProtection="1">
      <protection locked="0"/>
    </xf>
    <xf numFmtId="37" fontId="18" fillId="3" borderId="0" xfId="18" applyNumberFormat="1" applyFont="1" applyFill="1" applyBorder="1" applyProtection="1">
      <protection locked="0"/>
    </xf>
    <xf numFmtId="37" fontId="18" fillId="0" borderId="0" xfId="18" applyNumberFormat="1" applyFont="1" applyBorder="1" applyProtection="1">
      <protection locked="0"/>
    </xf>
    <xf numFmtId="165" fontId="18" fillId="3" borderId="0" xfId="18" applyNumberFormat="1" applyFont="1" applyFill="1" applyBorder="1" applyProtection="1">
      <protection locked="0"/>
    </xf>
    <xf numFmtId="37" fontId="18" fillId="0" borderId="8" xfId="3" applyNumberFormat="1" applyFont="1" applyBorder="1"/>
    <xf numFmtId="37" fontId="18" fillId="0" borderId="0" xfId="3" applyNumberFormat="1" applyFont="1" applyBorder="1"/>
    <xf numFmtId="3" fontId="18" fillId="0" borderId="0" xfId="18" applyNumberFormat="1" applyFont="1" applyBorder="1" applyProtection="1">
      <protection locked="0"/>
    </xf>
    <xf numFmtId="167" fontId="18" fillId="0" borderId="1" xfId="18" applyNumberFormat="1" applyFont="1" applyBorder="1" applyProtection="1">
      <protection locked="0"/>
    </xf>
    <xf numFmtId="167" fontId="18" fillId="3" borderId="0" xfId="18" applyNumberFormat="1" applyFont="1" applyFill="1" applyBorder="1" applyProtection="1">
      <protection locked="0"/>
    </xf>
    <xf numFmtId="167" fontId="18" fillId="0" borderId="0" xfId="18" applyNumberFormat="1" applyFont="1" applyBorder="1" applyProtection="1">
      <protection locked="0"/>
    </xf>
    <xf numFmtId="167" fontId="18" fillId="0" borderId="0" xfId="3" applyNumberFormat="1" applyFont="1" applyBorder="1"/>
    <xf numFmtId="167" fontId="18" fillId="0" borderId="8" xfId="3" applyNumberFormat="1" applyFont="1" applyBorder="1"/>
    <xf numFmtId="167" fontId="18" fillId="3" borderId="0" xfId="18" applyNumberFormat="1" applyFont="1" applyFill="1" applyBorder="1" applyProtection="1">
      <protection locked="0"/>
    </xf>
    <xf numFmtId="167" fontId="18" fillId="0" borderId="0" xfId="18" applyNumberFormat="1" applyFont="1" applyBorder="1" applyProtection="1">
      <protection locked="0"/>
    </xf>
    <xf numFmtId="167" fontId="18" fillId="0" borderId="0" xfId="3" applyNumberFormat="1" applyFont="1" applyBorder="1"/>
    <xf numFmtId="167" fontId="18" fillId="0" borderId="8" xfId="3" applyNumberFormat="1" applyFont="1" applyBorder="1"/>
    <xf numFmtId="168" fontId="25" fillId="0" borderId="1" xfId="19" applyNumberFormat="1" applyFont="1" applyBorder="1"/>
    <xf numFmtId="0" fontId="15" fillId="0" borderId="0" xfId="3" applyFont="1"/>
    <xf numFmtId="0" fontId="15" fillId="0" borderId="0" xfId="3" applyFont="1" applyAlignment="1">
      <alignment horizontal="center"/>
    </xf>
    <xf numFmtId="0" fontId="18" fillId="0" borderId="7" xfId="3" applyNumberFormat="1" applyFont="1" applyBorder="1" applyAlignment="1" applyProtection="1">
      <alignment horizontal="left"/>
      <protection locked="0"/>
    </xf>
    <xf numFmtId="164" fontId="15" fillId="0" borderId="1" xfId="1" applyNumberFormat="1" applyFont="1" applyBorder="1"/>
    <xf numFmtId="164" fontId="15" fillId="3" borderId="0" xfId="1" applyNumberFormat="1" applyFont="1" applyFill="1" applyBorder="1"/>
    <xf numFmtId="164" fontId="15" fillId="0" borderId="0" xfId="1" applyNumberFormat="1" applyFont="1" applyBorder="1"/>
    <xf numFmtId="164" fontId="18" fillId="3" borderId="0" xfId="1" applyNumberFormat="1" applyFont="1" applyFill="1" applyBorder="1" applyProtection="1">
      <protection locked="0"/>
    </xf>
    <xf numFmtId="164" fontId="18" fillId="3" borderId="3" xfId="1" applyNumberFormat="1" applyFont="1" applyFill="1" applyBorder="1" applyProtection="1">
      <protection locked="0"/>
    </xf>
    <xf numFmtId="164" fontId="15" fillId="3" borderId="5" xfId="1" applyNumberFormat="1" applyFont="1" applyFill="1" applyBorder="1"/>
    <xf numFmtId="164" fontId="15" fillId="0" borderId="0" xfId="1" applyNumberFormat="1" applyFont="1" applyBorder="1" applyProtection="1">
      <protection locked="0"/>
    </xf>
    <xf numFmtId="0" fontId="15" fillId="0" borderId="14" xfId="3" applyNumberFormat="1" applyFont="1" applyBorder="1" applyAlignment="1" applyProtection="1">
      <alignment horizontal="center"/>
      <protection locked="0"/>
    </xf>
    <xf numFmtId="0" fontId="15" fillId="3" borderId="5" xfId="3" applyFont="1" applyFill="1" applyBorder="1" applyAlignment="1">
      <alignment horizontal="center"/>
    </xf>
    <xf numFmtId="0" fontId="15" fillId="0" borderId="5" xfId="3" applyNumberFormat="1" applyFont="1" applyBorder="1" applyAlignment="1" applyProtection="1">
      <alignment horizontal="center"/>
      <protection locked="0"/>
    </xf>
    <xf numFmtId="38" fontId="15" fillId="0" borderId="5" xfId="3" applyNumberFormat="1" applyFont="1" applyBorder="1" applyAlignment="1" applyProtection="1">
      <alignment horizontal="center"/>
      <protection locked="0"/>
    </xf>
    <xf numFmtId="0" fontId="15" fillId="0" borderId="5" xfId="3" applyFont="1" applyBorder="1" applyAlignment="1">
      <alignment horizontal="center"/>
    </xf>
    <xf numFmtId="0" fontId="15" fillId="5" borderId="5" xfId="3" applyFont="1" applyFill="1" applyBorder="1" applyAlignment="1">
      <alignment horizontal="center"/>
    </xf>
    <xf numFmtId="0" fontId="15" fillId="5" borderId="6" xfId="3" applyFont="1" applyFill="1" applyBorder="1" applyAlignment="1">
      <alignment horizontal="center"/>
    </xf>
    <xf numFmtId="0" fontId="15" fillId="0" borderId="4" xfId="3" applyFont="1" applyFill="1" applyBorder="1" applyAlignment="1">
      <alignment horizontal="center"/>
    </xf>
    <xf numFmtId="0" fontId="15" fillId="3" borderId="5" xfId="3" applyFont="1" applyFill="1" applyBorder="1" applyAlignment="1">
      <alignment horizontal="centerContinuous"/>
    </xf>
    <xf numFmtId="0" fontId="15" fillId="0" borderId="5" xfId="3" applyFont="1" applyFill="1" applyBorder="1" applyAlignment="1">
      <alignment horizontal="center"/>
    </xf>
    <xf numFmtId="0" fontId="15" fillId="0" borderId="6" xfId="3" applyFont="1" applyFill="1" applyBorder="1" applyAlignment="1">
      <alignment horizontal="center"/>
    </xf>
    <xf numFmtId="0" fontId="15" fillId="0" borderId="9" xfId="3" applyFont="1" applyBorder="1" applyAlignment="1">
      <alignment horizontal="center"/>
    </xf>
    <xf numFmtId="0" fontId="15" fillId="0" borderId="15" xfId="3" applyNumberFormat="1" applyFont="1" applyBorder="1" applyAlignment="1" applyProtection="1">
      <alignment horizontal="center"/>
      <protection locked="0"/>
    </xf>
    <xf numFmtId="0" fontId="15" fillId="3" borderId="2" xfId="3" applyFont="1" applyFill="1" applyBorder="1" applyAlignment="1">
      <alignment horizontal="center"/>
    </xf>
    <xf numFmtId="0" fontId="15" fillId="0" borderId="2" xfId="3" applyNumberFormat="1" applyFont="1" applyBorder="1" applyAlignment="1" applyProtection="1">
      <alignment horizontal="center"/>
      <protection locked="0"/>
    </xf>
    <xf numFmtId="38" fontId="15" fillId="0" borderId="2" xfId="3" applyNumberFormat="1" applyFont="1" applyBorder="1" applyAlignment="1" applyProtection="1">
      <alignment horizontal="center"/>
      <protection locked="0"/>
    </xf>
    <xf numFmtId="0" fontId="15" fillId="0" borderId="2" xfId="3" applyFont="1" applyBorder="1" applyAlignment="1">
      <alignment horizontal="center"/>
    </xf>
    <xf numFmtId="0" fontId="15" fillId="5" borderId="2" xfId="3" applyFont="1" applyFill="1" applyBorder="1" applyAlignment="1">
      <alignment horizontal="center"/>
    </xf>
    <xf numFmtId="0" fontId="15" fillId="5" borderId="10" xfId="3" applyFont="1" applyFill="1" applyBorder="1" applyAlignment="1">
      <alignment horizontal="center"/>
    </xf>
    <xf numFmtId="0" fontId="15" fillId="0" borderId="9" xfId="3" applyFont="1" applyFill="1" applyBorder="1" applyAlignment="1">
      <alignment horizontal="center"/>
    </xf>
    <xf numFmtId="0" fontId="15" fillId="3" borderId="2" xfId="3" applyFont="1" applyFill="1" applyBorder="1"/>
    <xf numFmtId="0" fontId="15" fillId="0" borderId="2" xfId="3" applyFont="1" applyFill="1" applyBorder="1" applyAlignment="1">
      <alignment horizontal="center"/>
    </xf>
    <xf numFmtId="0" fontId="15" fillId="0" borderId="10" xfId="3" applyFont="1" applyFill="1" applyBorder="1" applyAlignment="1">
      <alignment horizontal="center"/>
    </xf>
    <xf numFmtId="0" fontId="16" fillId="0" borderId="4" xfId="3" applyFont="1" applyBorder="1" applyAlignment="1">
      <alignment horizontal="left"/>
    </xf>
    <xf numFmtId="165" fontId="15" fillId="3" borderId="0" xfId="18" applyNumberFormat="1" applyFont="1" applyFill="1" applyBorder="1"/>
    <xf numFmtId="37" fontId="18" fillId="3" borderId="0" xfId="18" applyNumberFormat="1" applyFont="1" applyFill="1" applyBorder="1" applyProtection="1">
      <protection locked="0"/>
    </xf>
    <xf numFmtId="37" fontId="18" fillId="0" borderId="0" xfId="18" applyNumberFormat="1" applyFont="1" applyBorder="1" applyProtection="1">
      <protection locked="0"/>
    </xf>
    <xf numFmtId="165" fontId="18" fillId="3" borderId="0" xfId="18" applyNumberFormat="1" applyFont="1" applyFill="1" applyBorder="1" applyProtection="1">
      <protection locked="0"/>
    </xf>
    <xf numFmtId="37" fontId="18" fillId="0" borderId="8" xfId="3" applyNumberFormat="1" applyFont="1" applyBorder="1"/>
    <xf numFmtId="37" fontId="18" fillId="0" borderId="0" xfId="3" applyNumberFormat="1" applyFont="1" applyBorder="1"/>
    <xf numFmtId="0" fontId="18" fillId="0" borderId="7" xfId="3" applyFont="1" applyBorder="1" applyAlignment="1">
      <alignment horizontal="left"/>
    </xf>
    <xf numFmtId="37" fontId="18" fillId="0" borderId="1" xfId="18" applyNumberFormat="1" applyFont="1" applyBorder="1" applyAlignment="1" applyProtection="1">
      <alignment horizontal="right"/>
      <protection locked="0"/>
    </xf>
    <xf numFmtId="37" fontId="18" fillId="0" borderId="0" xfId="18" applyNumberFormat="1" applyFont="1" applyBorder="1" applyAlignment="1" applyProtection="1">
      <alignment horizontal="right"/>
      <protection locked="0"/>
    </xf>
    <xf numFmtId="37" fontId="18" fillId="0" borderId="16" xfId="18" applyNumberFormat="1" applyFont="1" applyBorder="1" applyAlignment="1" applyProtection="1">
      <alignment horizontal="right"/>
      <protection locked="0"/>
    </xf>
    <xf numFmtId="37" fontId="18" fillId="3" borderId="3" xfId="18" applyNumberFormat="1" applyFont="1" applyFill="1" applyBorder="1" applyProtection="1">
      <protection locked="0"/>
    </xf>
    <xf numFmtId="37" fontId="18" fillId="0" borderId="3" xfId="18" applyNumberFormat="1" applyFont="1" applyBorder="1" applyAlignment="1" applyProtection="1">
      <alignment horizontal="right"/>
      <protection locked="0"/>
    </xf>
    <xf numFmtId="165" fontId="18" fillId="3" borderId="3" xfId="18" applyNumberFormat="1" applyFont="1" applyFill="1" applyBorder="1" applyProtection="1">
      <protection locked="0"/>
    </xf>
    <xf numFmtId="37" fontId="18" fillId="0" borderId="3" xfId="18" applyNumberFormat="1" applyFont="1" applyBorder="1" applyProtection="1">
      <protection locked="0"/>
    </xf>
    <xf numFmtId="37" fontId="18" fillId="0" borderId="3" xfId="3" applyNumberFormat="1" applyFont="1" applyBorder="1"/>
    <xf numFmtId="37" fontId="18" fillId="0" borderId="12" xfId="3" applyNumberFormat="1" applyFont="1" applyBorder="1"/>
    <xf numFmtId="0" fontId="18" fillId="3" borderId="7" xfId="3" applyFont="1" applyFill="1" applyBorder="1" applyAlignment="1">
      <alignment horizontal="left"/>
    </xf>
    <xf numFmtId="167" fontId="18" fillId="3" borderId="0" xfId="18" applyNumberFormat="1" applyFont="1" applyFill="1" applyBorder="1" applyProtection="1">
      <protection locked="0"/>
    </xf>
    <xf numFmtId="167" fontId="18" fillId="0" borderId="0" xfId="18" applyNumberFormat="1" applyFont="1" applyBorder="1" applyProtection="1">
      <protection locked="0"/>
    </xf>
    <xf numFmtId="167" fontId="18" fillId="0" borderId="0" xfId="3" applyNumberFormat="1" applyFont="1" applyBorder="1"/>
    <xf numFmtId="167" fontId="18" fillId="0" borderId="8" xfId="3" applyNumberFormat="1" applyFont="1" applyBorder="1"/>
    <xf numFmtId="167" fontId="18" fillId="0" borderId="1" xfId="18" applyNumberFormat="1" applyFont="1" applyBorder="1" applyAlignment="1" applyProtection="1">
      <alignment horizontal="right"/>
      <protection locked="0"/>
    </xf>
    <xf numFmtId="167" fontId="18" fillId="0" borderId="0" xfId="18" applyNumberFormat="1" applyFont="1" applyBorder="1" applyAlignment="1" applyProtection="1">
      <alignment horizontal="right"/>
      <protection locked="0"/>
    </xf>
    <xf numFmtId="167" fontId="18" fillId="0" borderId="16" xfId="18" applyNumberFormat="1" applyFont="1" applyBorder="1" applyAlignment="1" applyProtection="1">
      <alignment horizontal="right"/>
      <protection locked="0"/>
    </xf>
    <xf numFmtId="167" fontId="18" fillId="3" borderId="3" xfId="18" applyNumberFormat="1" applyFont="1" applyFill="1" applyBorder="1" applyProtection="1">
      <protection locked="0"/>
    </xf>
    <xf numFmtId="167" fontId="18" fillId="0" borderId="3" xfId="18" applyNumberFormat="1" applyFont="1" applyBorder="1" applyAlignment="1" applyProtection="1">
      <alignment horizontal="right"/>
      <protection locked="0"/>
    </xf>
    <xf numFmtId="167" fontId="18" fillId="0" borderId="3" xfId="18" applyNumberFormat="1" applyFont="1" applyBorder="1" applyProtection="1">
      <protection locked="0"/>
    </xf>
    <xf numFmtId="167" fontId="18" fillId="0" borderId="3" xfId="3" applyNumberFormat="1" applyFont="1" applyBorder="1"/>
    <xf numFmtId="167" fontId="18" fillId="0" borderId="12" xfId="3" applyNumberFormat="1" applyFont="1" applyBorder="1"/>
    <xf numFmtId="0" fontId="15" fillId="0" borderId="7" xfId="3" applyFont="1" applyBorder="1" applyAlignment="1">
      <alignment horizontal="left"/>
    </xf>
    <xf numFmtId="37" fontId="18" fillId="0" borderId="1" xfId="18" applyNumberFormat="1" applyFont="1" applyBorder="1" applyAlignment="1" applyProtection="1">
      <alignment horizontal="center"/>
      <protection locked="0"/>
    </xf>
    <xf numFmtId="37" fontId="18" fillId="3" borderId="0" xfId="18" applyNumberFormat="1" applyFont="1" applyFill="1" applyBorder="1"/>
    <xf numFmtId="37" fontId="18" fillId="0" borderId="0" xfId="18" applyNumberFormat="1" applyFont="1" applyBorder="1" applyAlignment="1" applyProtection="1">
      <alignment horizontal="center"/>
      <protection locked="0"/>
    </xf>
    <xf numFmtId="37" fontId="18" fillId="0" borderId="0" xfId="18" applyNumberFormat="1" applyFont="1" applyBorder="1" applyAlignment="1">
      <alignment horizontal="center"/>
    </xf>
    <xf numFmtId="0" fontId="18" fillId="0" borderId="9" xfId="3" applyFont="1" applyBorder="1" applyAlignment="1">
      <alignment horizontal="left"/>
    </xf>
    <xf numFmtId="167" fontId="18" fillId="0" borderId="15" xfId="18" applyNumberFormat="1" applyFont="1" applyBorder="1" applyAlignment="1" applyProtection="1">
      <alignment horizontal="center"/>
      <protection locked="0"/>
    </xf>
    <xf numFmtId="167" fontId="18" fillId="3" borderId="2" xfId="18" applyNumberFormat="1" applyFont="1" applyFill="1" applyBorder="1"/>
    <xf numFmtId="167" fontId="18" fillId="0" borderId="2" xfId="18" applyNumberFormat="1" applyFont="1" applyBorder="1" applyAlignment="1" applyProtection="1">
      <alignment horizontal="center"/>
      <protection locked="0"/>
    </xf>
    <xf numFmtId="167" fontId="18" fillId="0" borderId="2" xfId="18" applyNumberFormat="1" applyFont="1" applyBorder="1" applyAlignment="1">
      <alignment horizontal="center"/>
    </xf>
    <xf numFmtId="165" fontId="15" fillId="3" borderId="2" xfId="18" applyNumberFormat="1" applyFont="1" applyFill="1" applyBorder="1"/>
    <xf numFmtId="3" fontId="18" fillId="0" borderId="0" xfId="18" applyNumberFormat="1" applyFont="1" applyBorder="1" applyAlignment="1" applyProtection="1">
      <alignment horizontal="right"/>
      <protection locked="0"/>
    </xf>
    <xf numFmtId="3" fontId="18" fillId="0" borderId="3" xfId="18" applyNumberFormat="1" applyFont="1" applyBorder="1" applyAlignment="1" applyProtection="1">
      <alignment horizontal="right"/>
      <protection locked="0"/>
    </xf>
    <xf numFmtId="37" fontId="18" fillId="0" borderId="1" xfId="18" applyNumberFormat="1" applyFont="1" applyBorder="1" applyProtection="1">
      <protection locked="0"/>
    </xf>
    <xf numFmtId="37" fontId="18" fillId="3" borderId="0" xfId="18" applyNumberFormat="1" applyFont="1" applyFill="1" applyBorder="1" applyProtection="1">
      <protection locked="0"/>
    </xf>
    <xf numFmtId="37" fontId="18" fillId="0" borderId="0" xfId="18" applyNumberFormat="1" applyFont="1" applyBorder="1" applyProtection="1">
      <protection locked="0"/>
    </xf>
    <xf numFmtId="165" fontId="18" fillId="3" borderId="0" xfId="18" applyNumberFormat="1" applyFont="1" applyFill="1" applyBorder="1" applyProtection="1">
      <protection locked="0"/>
    </xf>
    <xf numFmtId="37" fontId="18" fillId="0" borderId="8" xfId="3" applyNumberFormat="1" applyFont="1" applyBorder="1"/>
    <xf numFmtId="3" fontId="18" fillId="0" borderId="0" xfId="18" applyNumberFormat="1" applyFont="1" applyBorder="1" applyProtection="1">
      <protection locked="0"/>
    </xf>
    <xf numFmtId="37" fontId="18" fillId="0" borderId="1" xfId="18" applyNumberFormat="1" applyFont="1" applyBorder="1" applyProtection="1">
      <protection locked="0"/>
    </xf>
    <xf numFmtId="37" fontId="18" fillId="3" borderId="0" xfId="18" applyNumberFormat="1" applyFont="1" applyFill="1" applyBorder="1" applyProtection="1">
      <protection locked="0"/>
    </xf>
    <xf numFmtId="37" fontId="18" fillId="0" borderId="0" xfId="18" applyNumberFormat="1" applyFont="1" applyBorder="1" applyProtection="1">
      <protection locked="0"/>
    </xf>
    <xf numFmtId="165" fontId="18" fillId="3" borderId="0" xfId="18" applyNumberFormat="1" applyFont="1" applyFill="1" applyBorder="1" applyProtection="1">
      <protection locked="0"/>
    </xf>
    <xf numFmtId="37" fontId="18" fillId="0" borderId="8" xfId="3" applyNumberFormat="1" applyFont="1" applyBorder="1"/>
    <xf numFmtId="37" fontId="18" fillId="0" borderId="0" xfId="3" applyNumberFormat="1" applyFont="1" applyBorder="1"/>
    <xf numFmtId="3" fontId="18" fillId="0" borderId="0" xfId="18" applyNumberFormat="1" applyFont="1" applyBorder="1" applyProtection="1">
      <protection locked="0"/>
    </xf>
    <xf numFmtId="167" fontId="18" fillId="0" borderId="1" xfId="18" applyNumberFormat="1" applyFont="1" applyBorder="1" applyProtection="1">
      <protection locked="0"/>
    </xf>
    <xf numFmtId="167" fontId="18" fillId="3" borderId="0" xfId="18" applyNumberFormat="1" applyFont="1" applyFill="1" applyBorder="1" applyProtection="1">
      <protection locked="0"/>
    </xf>
    <xf numFmtId="167" fontId="18" fillId="0" borderId="0" xfId="18" applyNumberFormat="1" applyFont="1" applyBorder="1" applyProtection="1">
      <protection locked="0"/>
    </xf>
    <xf numFmtId="167" fontId="18" fillId="0" borderId="0" xfId="3" applyNumberFormat="1" applyFont="1" applyBorder="1"/>
    <xf numFmtId="167" fontId="18" fillId="0" borderId="8" xfId="3" applyNumberFormat="1" applyFont="1" applyBorder="1"/>
    <xf numFmtId="167" fontId="18" fillId="3" borderId="0" xfId="18" applyNumberFormat="1" applyFont="1" applyFill="1" applyBorder="1" applyProtection="1">
      <protection locked="0"/>
    </xf>
    <xf numFmtId="167" fontId="18" fillId="0" borderId="0" xfId="18" applyNumberFormat="1" applyFont="1" applyBorder="1" applyProtection="1">
      <protection locked="0"/>
    </xf>
    <xf numFmtId="167" fontId="18" fillId="0" borderId="0" xfId="3" applyNumberFormat="1" applyFont="1" applyBorder="1"/>
    <xf numFmtId="167" fontId="18" fillId="0" borderId="8" xfId="3" applyNumberFormat="1" applyFont="1" applyBorder="1"/>
    <xf numFmtId="168" fontId="25" fillId="0" borderId="1" xfId="19" applyNumberFormat="1" applyFont="1" applyBorder="1"/>
    <xf numFmtId="0" fontId="15" fillId="0" borderId="0" xfId="3" applyFont="1"/>
    <xf numFmtId="0" fontId="15" fillId="0" borderId="0" xfId="3" applyFont="1" applyAlignment="1">
      <alignment horizontal="center"/>
    </xf>
    <xf numFmtId="0" fontId="18" fillId="0" borderId="7" xfId="3" applyNumberFormat="1" applyFont="1" applyBorder="1" applyAlignment="1" applyProtection="1">
      <alignment horizontal="left"/>
      <protection locked="0"/>
    </xf>
    <xf numFmtId="164" fontId="15" fillId="0" borderId="1" xfId="1" applyNumberFormat="1" applyFont="1" applyBorder="1"/>
    <xf numFmtId="164" fontId="15" fillId="3" borderId="0" xfId="1" applyNumberFormat="1" applyFont="1" applyFill="1" applyBorder="1"/>
    <xf numFmtId="164" fontId="15" fillId="0" borderId="0" xfId="1" applyNumberFormat="1" applyFont="1" applyBorder="1"/>
    <xf numFmtId="164" fontId="18" fillId="3" borderId="0" xfId="1" applyNumberFormat="1" applyFont="1" applyFill="1" applyBorder="1" applyProtection="1">
      <protection locked="0"/>
    </xf>
    <xf numFmtId="164" fontId="18" fillId="3" borderId="3" xfId="1" applyNumberFormat="1" applyFont="1" applyFill="1" applyBorder="1" applyProtection="1">
      <protection locked="0"/>
    </xf>
    <xf numFmtId="164" fontId="15" fillId="3" borderId="5" xfId="1" applyNumberFormat="1" applyFont="1" applyFill="1" applyBorder="1"/>
    <xf numFmtId="164" fontId="15" fillId="0" borderId="0" xfId="1" applyNumberFormat="1" applyFont="1" applyBorder="1" applyProtection="1">
      <protection locked="0"/>
    </xf>
    <xf numFmtId="0" fontId="15" fillId="0" borderId="14" xfId="3" applyNumberFormat="1" applyFont="1" applyBorder="1" applyAlignment="1" applyProtection="1">
      <alignment horizontal="center"/>
      <protection locked="0"/>
    </xf>
    <xf numFmtId="0" fontId="15" fillId="3" borderId="5" xfId="3" applyFont="1" applyFill="1" applyBorder="1" applyAlignment="1">
      <alignment horizontal="center"/>
    </xf>
    <xf numFmtId="0" fontId="15" fillId="0" borderId="5" xfId="3" applyNumberFormat="1" applyFont="1" applyBorder="1" applyAlignment="1" applyProtection="1">
      <alignment horizontal="center"/>
      <protection locked="0"/>
    </xf>
    <xf numFmtId="38" fontId="15" fillId="0" borderId="5" xfId="3" applyNumberFormat="1" applyFont="1" applyBorder="1" applyAlignment="1" applyProtection="1">
      <alignment horizontal="center"/>
      <protection locked="0"/>
    </xf>
    <xf numFmtId="0" fontId="15" fillId="0" borderId="5" xfId="3" applyFont="1" applyBorder="1" applyAlignment="1">
      <alignment horizontal="center"/>
    </xf>
    <xf numFmtId="0" fontId="15" fillId="5" borderId="5" xfId="3" applyFont="1" applyFill="1" applyBorder="1" applyAlignment="1">
      <alignment horizontal="center"/>
    </xf>
    <xf numFmtId="0" fontId="15" fillId="5" borderId="6" xfId="3" applyFont="1" applyFill="1" applyBorder="1" applyAlignment="1">
      <alignment horizontal="center"/>
    </xf>
    <xf numFmtId="0" fontId="15" fillId="0" borderId="4" xfId="3" applyFont="1" applyFill="1" applyBorder="1" applyAlignment="1">
      <alignment horizontal="center"/>
    </xf>
    <xf numFmtId="0" fontId="15" fillId="3" borderId="5" xfId="3" applyFont="1" applyFill="1" applyBorder="1" applyAlignment="1">
      <alignment horizontal="centerContinuous"/>
    </xf>
    <xf numFmtId="0" fontId="15" fillId="0" borderId="5" xfId="3" applyFont="1" applyFill="1" applyBorder="1" applyAlignment="1">
      <alignment horizontal="center"/>
    </xf>
    <xf numFmtId="0" fontId="15" fillId="0" borderId="6" xfId="3" applyFont="1" applyFill="1" applyBorder="1" applyAlignment="1">
      <alignment horizontal="center"/>
    </xf>
    <xf numFmtId="0" fontId="15" fillId="0" borderId="9" xfId="3" applyFont="1" applyBorder="1" applyAlignment="1">
      <alignment horizontal="center"/>
    </xf>
    <xf numFmtId="0" fontId="15" fillId="0" borderId="15" xfId="3" applyNumberFormat="1" applyFont="1" applyBorder="1" applyAlignment="1" applyProtection="1">
      <alignment horizontal="center"/>
      <protection locked="0"/>
    </xf>
    <xf numFmtId="0" fontId="15" fillId="3" borderId="2" xfId="3" applyFont="1" applyFill="1" applyBorder="1" applyAlignment="1">
      <alignment horizontal="center"/>
    </xf>
    <xf numFmtId="0" fontId="15" fillId="0" borderId="2" xfId="3" applyNumberFormat="1" applyFont="1" applyBorder="1" applyAlignment="1" applyProtection="1">
      <alignment horizontal="center"/>
      <protection locked="0"/>
    </xf>
    <xf numFmtId="38" fontId="15" fillId="0" borderId="2" xfId="3" applyNumberFormat="1" applyFont="1" applyBorder="1" applyAlignment="1" applyProtection="1">
      <alignment horizontal="center"/>
      <protection locked="0"/>
    </xf>
    <xf numFmtId="0" fontId="15" fillId="0" borderId="2" xfId="3" applyFont="1" applyBorder="1" applyAlignment="1">
      <alignment horizontal="center"/>
    </xf>
    <xf numFmtId="0" fontId="15" fillId="5" borderId="2" xfId="3" applyFont="1" applyFill="1" applyBorder="1" applyAlignment="1">
      <alignment horizontal="center"/>
    </xf>
    <xf numFmtId="0" fontId="15" fillId="5" borderId="10" xfId="3" applyFont="1" applyFill="1" applyBorder="1" applyAlignment="1">
      <alignment horizontal="center"/>
    </xf>
    <xf numFmtId="0" fontId="15" fillId="0" borderId="9" xfId="3" applyFont="1" applyFill="1" applyBorder="1" applyAlignment="1">
      <alignment horizontal="center"/>
    </xf>
    <xf numFmtId="0" fontId="15" fillId="3" borderId="2" xfId="3" applyFont="1" applyFill="1" applyBorder="1"/>
    <xf numFmtId="0" fontId="15" fillId="0" borderId="2" xfId="3" applyFont="1" applyFill="1" applyBorder="1" applyAlignment="1">
      <alignment horizontal="center"/>
    </xf>
    <xf numFmtId="0" fontId="15" fillId="0" borderId="10" xfId="3" applyFont="1" applyFill="1" applyBorder="1" applyAlignment="1">
      <alignment horizontal="center"/>
    </xf>
    <xf numFmtId="0" fontId="16" fillId="0" borderId="4" xfId="3" applyFont="1" applyBorder="1" applyAlignment="1">
      <alignment horizontal="left"/>
    </xf>
    <xf numFmtId="165" fontId="15" fillId="3" borderId="0" xfId="18" applyNumberFormat="1" applyFont="1" applyFill="1" applyBorder="1"/>
    <xf numFmtId="37" fontId="18" fillId="3" borderId="0" xfId="18" applyNumberFormat="1" applyFont="1" applyFill="1" applyBorder="1" applyProtection="1">
      <protection locked="0"/>
    </xf>
    <xf numFmtId="37" fontId="18" fillId="0" borderId="0" xfId="18" applyNumberFormat="1" applyFont="1" applyBorder="1" applyProtection="1">
      <protection locked="0"/>
    </xf>
    <xf numFmtId="165" fontId="18" fillId="3" borderId="0" xfId="18" applyNumberFormat="1" applyFont="1" applyFill="1" applyBorder="1" applyProtection="1">
      <protection locked="0"/>
    </xf>
    <xf numFmtId="37" fontId="18" fillId="0" borderId="8" xfId="3" applyNumberFormat="1" applyFont="1" applyBorder="1"/>
    <xf numFmtId="37" fontId="18" fillId="0" borderId="0" xfId="3" applyNumberFormat="1" applyFont="1" applyBorder="1"/>
    <xf numFmtId="0" fontId="18" fillId="0" borderId="7" xfId="3" applyFont="1" applyBorder="1" applyAlignment="1">
      <alignment horizontal="left"/>
    </xf>
    <xf numFmtId="37" fontId="18" fillId="0" borderId="1" xfId="18" applyNumberFormat="1" applyFont="1" applyBorder="1" applyAlignment="1" applyProtection="1">
      <alignment horizontal="right"/>
      <protection locked="0"/>
    </xf>
    <xf numFmtId="37" fontId="18" fillId="0" borderId="0" xfId="18" applyNumberFormat="1" applyFont="1" applyBorder="1" applyAlignment="1" applyProtection="1">
      <alignment horizontal="right"/>
      <protection locked="0"/>
    </xf>
    <xf numFmtId="37" fontId="18" fillId="0" borderId="16" xfId="18" applyNumberFormat="1" applyFont="1" applyBorder="1" applyAlignment="1" applyProtection="1">
      <alignment horizontal="right"/>
      <protection locked="0"/>
    </xf>
    <xf numFmtId="37" fontId="18" fillId="3" borderId="3" xfId="18" applyNumberFormat="1" applyFont="1" applyFill="1" applyBorder="1" applyProtection="1">
      <protection locked="0"/>
    </xf>
    <xf numFmtId="37" fontId="18" fillId="0" borderId="3" xfId="18" applyNumberFormat="1" applyFont="1" applyBorder="1" applyAlignment="1" applyProtection="1">
      <alignment horizontal="right"/>
      <protection locked="0"/>
    </xf>
    <xf numFmtId="165" fontId="18" fillId="3" borderId="3" xfId="18" applyNumberFormat="1" applyFont="1" applyFill="1" applyBorder="1" applyProtection="1">
      <protection locked="0"/>
    </xf>
    <xf numFmtId="37" fontId="18" fillId="0" borderId="3" xfId="18" applyNumberFormat="1" applyFont="1" applyBorder="1" applyProtection="1">
      <protection locked="0"/>
    </xf>
    <xf numFmtId="37" fontId="18" fillId="0" borderId="3" xfId="3" applyNumberFormat="1" applyFont="1" applyBorder="1"/>
    <xf numFmtId="37" fontId="18" fillId="0" borderId="12" xfId="3" applyNumberFormat="1" applyFont="1" applyBorder="1"/>
    <xf numFmtId="0" fontId="18" fillId="3" borderId="7" xfId="3" applyFont="1" applyFill="1" applyBorder="1" applyAlignment="1">
      <alignment horizontal="left"/>
    </xf>
    <xf numFmtId="167" fontId="18" fillId="3" borderId="0" xfId="18" applyNumberFormat="1" applyFont="1" applyFill="1" applyBorder="1" applyProtection="1">
      <protection locked="0"/>
    </xf>
    <xf numFmtId="167" fontId="18" fillId="0" borderId="0" xfId="18" applyNumberFormat="1" applyFont="1" applyBorder="1" applyProtection="1">
      <protection locked="0"/>
    </xf>
    <xf numFmtId="167" fontId="18" fillId="0" borderId="0" xfId="3" applyNumberFormat="1" applyFont="1" applyBorder="1"/>
    <xf numFmtId="167" fontId="18" fillId="0" borderId="8" xfId="3" applyNumberFormat="1" applyFont="1" applyBorder="1"/>
    <xf numFmtId="167" fontId="18" fillId="0" borderId="1" xfId="18" applyNumberFormat="1" applyFont="1" applyBorder="1" applyAlignment="1" applyProtection="1">
      <alignment horizontal="right"/>
      <protection locked="0"/>
    </xf>
    <xf numFmtId="167" fontId="18" fillId="0" borderId="0" xfId="18" applyNumberFormat="1" applyFont="1" applyBorder="1" applyAlignment="1" applyProtection="1">
      <alignment horizontal="right"/>
      <protection locked="0"/>
    </xf>
    <xf numFmtId="167" fontId="18" fillId="0" borderId="16" xfId="18" applyNumberFormat="1" applyFont="1" applyBorder="1" applyAlignment="1" applyProtection="1">
      <alignment horizontal="right"/>
      <protection locked="0"/>
    </xf>
    <xf numFmtId="167" fontId="18" fillId="3" borderId="3" xfId="18" applyNumberFormat="1" applyFont="1" applyFill="1" applyBorder="1" applyProtection="1">
      <protection locked="0"/>
    </xf>
    <xf numFmtId="167" fontId="18" fillId="0" borderId="3" xfId="18" applyNumberFormat="1" applyFont="1" applyBorder="1" applyAlignment="1" applyProtection="1">
      <alignment horizontal="right"/>
      <protection locked="0"/>
    </xf>
    <xf numFmtId="167" fontId="18" fillId="0" borderId="3" xfId="18" applyNumberFormat="1" applyFont="1" applyBorder="1" applyProtection="1">
      <protection locked="0"/>
    </xf>
    <xf numFmtId="167" fontId="18" fillId="0" borderId="3" xfId="3" applyNumberFormat="1" applyFont="1" applyBorder="1"/>
    <xf numFmtId="167" fontId="18" fillId="0" borderId="12" xfId="3" applyNumberFormat="1" applyFont="1" applyBorder="1"/>
    <xf numFmtId="0" fontId="15" fillId="0" borderId="7" xfId="3" applyFont="1" applyBorder="1" applyAlignment="1">
      <alignment horizontal="left"/>
    </xf>
    <xf numFmtId="37" fontId="18" fillId="0" borderId="1" xfId="18" applyNumberFormat="1" applyFont="1" applyBorder="1" applyAlignment="1" applyProtection="1">
      <alignment horizontal="center"/>
      <protection locked="0"/>
    </xf>
    <xf numFmtId="37" fontId="18" fillId="3" borderId="0" xfId="18" applyNumberFormat="1" applyFont="1" applyFill="1" applyBorder="1"/>
    <xf numFmtId="37" fontId="18" fillId="0" borderId="0" xfId="18" applyNumberFormat="1" applyFont="1" applyBorder="1" applyAlignment="1" applyProtection="1">
      <alignment horizontal="center"/>
      <protection locked="0"/>
    </xf>
    <xf numFmtId="37" fontId="18" fillId="0" borderId="0" xfId="18" applyNumberFormat="1" applyFont="1" applyBorder="1" applyAlignment="1">
      <alignment horizontal="center"/>
    </xf>
    <xf numFmtId="0" fontId="18" fillId="0" borderId="9" xfId="3" applyFont="1" applyBorder="1" applyAlignment="1">
      <alignment horizontal="left"/>
    </xf>
    <xf numFmtId="167" fontId="18" fillId="0" borderId="15" xfId="18" applyNumberFormat="1" applyFont="1" applyBorder="1" applyAlignment="1" applyProtection="1">
      <alignment horizontal="center"/>
      <protection locked="0"/>
    </xf>
    <xf numFmtId="167" fontId="18" fillId="3" borderId="2" xfId="18" applyNumberFormat="1" applyFont="1" applyFill="1" applyBorder="1"/>
    <xf numFmtId="167" fontId="18" fillId="0" borderId="2" xfId="18" applyNumberFormat="1" applyFont="1" applyBorder="1" applyAlignment="1" applyProtection="1">
      <alignment horizontal="center"/>
      <protection locked="0"/>
    </xf>
    <xf numFmtId="167" fontId="18" fillId="0" borderId="2" xfId="18" applyNumberFormat="1" applyFont="1" applyBorder="1" applyAlignment="1">
      <alignment horizontal="center"/>
    </xf>
    <xf numFmtId="165" fontId="15" fillId="3" borderId="2" xfId="18" applyNumberFormat="1" applyFont="1" applyFill="1" applyBorder="1"/>
    <xf numFmtId="3" fontId="18" fillId="0" borderId="0" xfId="18" applyNumberFormat="1" applyFont="1" applyBorder="1" applyAlignment="1" applyProtection="1">
      <alignment horizontal="right"/>
      <protection locked="0"/>
    </xf>
    <xf numFmtId="3" fontId="18" fillId="0" borderId="3" xfId="18" applyNumberFormat="1" applyFont="1" applyBorder="1" applyAlignment="1" applyProtection="1">
      <alignment horizontal="right"/>
      <protection locked="0"/>
    </xf>
    <xf numFmtId="37" fontId="18" fillId="0" borderId="1" xfId="18" applyNumberFormat="1" applyFont="1" applyBorder="1" applyProtection="1">
      <protection locked="0"/>
    </xf>
    <xf numFmtId="37" fontId="18" fillId="3" borderId="0" xfId="18" applyNumberFormat="1" applyFont="1" applyFill="1" applyBorder="1" applyProtection="1">
      <protection locked="0"/>
    </xf>
    <xf numFmtId="37" fontId="18" fillId="0" borderId="0" xfId="18" applyNumberFormat="1" applyFont="1" applyBorder="1" applyProtection="1">
      <protection locked="0"/>
    </xf>
    <xf numFmtId="165" fontId="18" fillId="3" borderId="0" xfId="18" applyNumberFormat="1" applyFont="1" applyFill="1" applyBorder="1" applyProtection="1">
      <protection locked="0"/>
    </xf>
    <xf numFmtId="37" fontId="18" fillId="0" borderId="8" xfId="3" applyNumberFormat="1" applyFont="1" applyBorder="1"/>
    <xf numFmtId="3" fontId="18" fillId="0" borderId="0" xfId="18" applyNumberFormat="1" applyFont="1" applyBorder="1" applyProtection="1">
      <protection locked="0"/>
    </xf>
    <xf numFmtId="37" fontId="18" fillId="0" borderId="1" xfId="18" applyNumberFormat="1" applyFont="1" applyBorder="1" applyProtection="1">
      <protection locked="0"/>
    </xf>
    <xf numFmtId="37" fontId="18" fillId="3" borderId="0" xfId="18" applyNumberFormat="1" applyFont="1" applyFill="1" applyBorder="1" applyProtection="1">
      <protection locked="0"/>
    </xf>
    <xf numFmtId="37" fontId="18" fillId="0" borderId="0" xfId="18" applyNumberFormat="1" applyFont="1" applyBorder="1" applyProtection="1">
      <protection locked="0"/>
    </xf>
    <xf numFmtId="165" fontId="18" fillId="3" borderId="0" xfId="18" applyNumberFormat="1" applyFont="1" applyFill="1" applyBorder="1" applyProtection="1">
      <protection locked="0"/>
    </xf>
    <xf numFmtId="37" fontId="18" fillId="0" borderId="8" xfId="3" applyNumberFormat="1" applyFont="1" applyBorder="1"/>
    <xf numFmtId="37" fontId="18" fillId="0" borderId="0" xfId="3" applyNumberFormat="1" applyFont="1" applyBorder="1"/>
    <xf numFmtId="3" fontId="18" fillId="0" borderId="0" xfId="18" applyNumberFormat="1" applyFont="1" applyBorder="1" applyProtection="1">
      <protection locked="0"/>
    </xf>
    <xf numFmtId="167" fontId="18" fillId="0" borderId="1" xfId="18" applyNumberFormat="1" applyFont="1" applyBorder="1" applyProtection="1">
      <protection locked="0"/>
    </xf>
    <xf numFmtId="167" fontId="18" fillId="3" borderId="0" xfId="18" applyNumberFormat="1" applyFont="1" applyFill="1" applyBorder="1" applyProtection="1">
      <protection locked="0"/>
    </xf>
    <xf numFmtId="167" fontId="18" fillId="0" borderId="0" xfId="18" applyNumberFormat="1" applyFont="1" applyBorder="1" applyProtection="1">
      <protection locked="0"/>
    </xf>
    <xf numFmtId="167" fontId="18" fillId="0" borderId="0" xfId="3" applyNumberFormat="1" applyFont="1" applyBorder="1"/>
    <xf numFmtId="167" fontId="18" fillId="0" borderId="8" xfId="3" applyNumberFormat="1" applyFont="1" applyBorder="1"/>
    <xf numFmtId="167" fontId="18" fillId="3" borderId="0" xfId="18" applyNumberFormat="1" applyFont="1" applyFill="1" applyBorder="1" applyProtection="1">
      <protection locked="0"/>
    </xf>
    <xf numFmtId="167" fontId="18" fillId="0" borderId="0" xfId="18" applyNumberFormat="1" applyFont="1" applyBorder="1" applyProtection="1">
      <protection locked="0"/>
    </xf>
    <xf numFmtId="167" fontId="18" fillId="0" borderId="0" xfId="3" applyNumberFormat="1" applyFont="1" applyBorder="1"/>
    <xf numFmtId="167" fontId="18" fillId="0" borderId="8" xfId="3" applyNumberFormat="1" applyFont="1" applyBorder="1"/>
    <xf numFmtId="168" fontId="25" fillId="0" borderId="1" xfId="19" applyNumberFormat="1" applyFont="1" applyBorder="1"/>
    <xf numFmtId="0" fontId="15" fillId="0" borderId="0" xfId="3" applyFont="1"/>
    <xf numFmtId="0" fontId="15" fillId="0" borderId="0" xfId="3" applyFont="1" applyAlignment="1">
      <alignment horizontal="center"/>
    </xf>
    <xf numFmtId="0" fontId="18" fillId="0" borderId="7" xfId="3" applyNumberFormat="1" applyFont="1" applyBorder="1" applyAlignment="1" applyProtection="1">
      <alignment horizontal="left"/>
      <protection locked="0"/>
    </xf>
    <xf numFmtId="164" fontId="15" fillId="0" borderId="1" xfId="1" applyNumberFormat="1" applyFont="1" applyBorder="1"/>
    <xf numFmtId="164" fontId="15" fillId="3" borderId="0" xfId="1" applyNumberFormat="1" applyFont="1" applyFill="1" applyBorder="1"/>
    <xf numFmtId="164" fontId="15" fillId="0" borderId="0" xfId="1" applyNumberFormat="1" applyFont="1" applyBorder="1"/>
    <xf numFmtId="164" fontId="18" fillId="3" borderId="0" xfId="1" applyNumberFormat="1" applyFont="1" applyFill="1" applyBorder="1" applyProtection="1">
      <protection locked="0"/>
    </xf>
    <xf numFmtId="164" fontId="18" fillId="3" borderId="3" xfId="1" applyNumberFormat="1" applyFont="1" applyFill="1" applyBorder="1" applyProtection="1">
      <protection locked="0"/>
    </xf>
    <xf numFmtId="164" fontId="15" fillId="3" borderId="5" xfId="1" applyNumberFormat="1" applyFont="1" applyFill="1" applyBorder="1"/>
    <xf numFmtId="164" fontId="15" fillId="0" borderId="0" xfId="1" applyNumberFormat="1" applyFont="1" applyBorder="1" applyProtection="1">
      <protection locked="0"/>
    </xf>
    <xf numFmtId="0" fontId="15" fillId="0" borderId="14" xfId="3" applyNumberFormat="1" applyFont="1" applyBorder="1" applyAlignment="1" applyProtection="1">
      <alignment horizontal="center"/>
      <protection locked="0"/>
    </xf>
    <xf numFmtId="0" fontId="15" fillId="3" borderId="5" xfId="3" applyFont="1" applyFill="1" applyBorder="1" applyAlignment="1">
      <alignment horizontal="center"/>
    </xf>
    <xf numFmtId="0" fontId="15" fillId="0" borderId="5" xfId="3" applyNumberFormat="1" applyFont="1" applyBorder="1" applyAlignment="1" applyProtection="1">
      <alignment horizontal="center"/>
      <protection locked="0"/>
    </xf>
    <xf numFmtId="38" fontId="15" fillId="0" borderId="5" xfId="3" applyNumberFormat="1" applyFont="1" applyBorder="1" applyAlignment="1" applyProtection="1">
      <alignment horizontal="center"/>
      <protection locked="0"/>
    </xf>
    <xf numFmtId="0" fontId="15" fillId="0" borderId="5" xfId="3" applyFont="1" applyBorder="1" applyAlignment="1">
      <alignment horizontal="center"/>
    </xf>
    <xf numFmtId="0" fontId="15" fillId="5" borderId="5" xfId="3" applyFont="1" applyFill="1" applyBorder="1" applyAlignment="1">
      <alignment horizontal="center"/>
    </xf>
    <xf numFmtId="0" fontId="15" fillId="5" borderId="6" xfId="3" applyFont="1" applyFill="1" applyBorder="1" applyAlignment="1">
      <alignment horizontal="center"/>
    </xf>
    <xf numFmtId="0" fontId="15" fillId="0" borderId="4" xfId="3" applyFont="1" applyFill="1" applyBorder="1" applyAlignment="1">
      <alignment horizontal="center"/>
    </xf>
    <xf numFmtId="0" fontId="15" fillId="3" borderId="5" xfId="3" applyFont="1" applyFill="1" applyBorder="1" applyAlignment="1">
      <alignment horizontal="centerContinuous"/>
    </xf>
    <xf numFmtId="0" fontId="15" fillId="0" borderId="5" xfId="3" applyFont="1" applyFill="1" applyBorder="1" applyAlignment="1">
      <alignment horizontal="center"/>
    </xf>
    <xf numFmtId="0" fontId="15" fillId="0" borderId="6" xfId="3" applyFont="1" applyFill="1" applyBorder="1" applyAlignment="1">
      <alignment horizontal="center"/>
    </xf>
    <xf numFmtId="0" fontId="15" fillId="0" borderId="9" xfId="3" applyFont="1" applyBorder="1" applyAlignment="1">
      <alignment horizontal="center"/>
    </xf>
    <xf numFmtId="0" fontId="15" fillId="0" borderId="15" xfId="3" applyNumberFormat="1" applyFont="1" applyBorder="1" applyAlignment="1" applyProtection="1">
      <alignment horizontal="center"/>
      <protection locked="0"/>
    </xf>
    <xf numFmtId="0" fontId="15" fillId="3" borderId="2" xfId="3" applyFont="1" applyFill="1" applyBorder="1" applyAlignment="1">
      <alignment horizontal="center"/>
    </xf>
    <xf numFmtId="0" fontId="15" fillId="0" borderId="2" xfId="3" applyNumberFormat="1" applyFont="1" applyBorder="1" applyAlignment="1" applyProtection="1">
      <alignment horizontal="center"/>
      <protection locked="0"/>
    </xf>
    <xf numFmtId="38" fontId="15" fillId="0" borderId="2" xfId="3" applyNumberFormat="1" applyFont="1" applyBorder="1" applyAlignment="1" applyProtection="1">
      <alignment horizontal="center"/>
      <protection locked="0"/>
    </xf>
    <xf numFmtId="0" fontId="15" fillId="0" borderId="2" xfId="3" applyFont="1" applyBorder="1" applyAlignment="1">
      <alignment horizontal="center"/>
    </xf>
    <xf numFmtId="0" fontId="15" fillId="5" borderId="2" xfId="3" applyFont="1" applyFill="1" applyBorder="1" applyAlignment="1">
      <alignment horizontal="center"/>
    </xf>
    <xf numFmtId="0" fontId="15" fillId="5" borderId="10" xfId="3" applyFont="1" applyFill="1" applyBorder="1" applyAlignment="1">
      <alignment horizontal="center"/>
    </xf>
    <xf numFmtId="0" fontId="15" fillId="0" borderId="9" xfId="3" applyFont="1" applyFill="1" applyBorder="1" applyAlignment="1">
      <alignment horizontal="center"/>
    </xf>
    <xf numFmtId="0" fontId="15" fillId="3" borderId="2" xfId="3" applyFont="1" applyFill="1" applyBorder="1"/>
    <xf numFmtId="0" fontId="15" fillId="0" borderId="2" xfId="3" applyFont="1" applyFill="1" applyBorder="1" applyAlignment="1">
      <alignment horizontal="center"/>
    </xf>
    <xf numFmtId="0" fontId="15" fillId="0" borderId="10" xfId="3" applyFont="1" applyFill="1" applyBorder="1" applyAlignment="1">
      <alignment horizontal="center"/>
    </xf>
    <xf numFmtId="0" fontId="16" fillId="0" borderId="4" xfId="3" applyFont="1" applyBorder="1" applyAlignment="1">
      <alignment horizontal="left"/>
    </xf>
    <xf numFmtId="165" fontId="15" fillId="3" borderId="0" xfId="18" applyNumberFormat="1" applyFont="1" applyFill="1" applyBorder="1"/>
    <xf numFmtId="0" fontId="18" fillId="0" borderId="7" xfId="3" applyFont="1" applyBorder="1" applyAlignment="1">
      <alignment horizontal="left"/>
    </xf>
    <xf numFmtId="0" fontId="18" fillId="3" borderId="7" xfId="3" applyFont="1" applyFill="1" applyBorder="1" applyAlignment="1">
      <alignment horizontal="left"/>
    </xf>
    <xf numFmtId="0" fontId="15" fillId="0" borderId="7" xfId="3" applyFont="1" applyBorder="1" applyAlignment="1">
      <alignment horizontal="left"/>
    </xf>
    <xf numFmtId="37" fontId="18" fillId="0" borderId="1" xfId="18" applyNumberFormat="1" applyFont="1" applyBorder="1" applyAlignment="1" applyProtection="1">
      <alignment horizontal="center"/>
      <protection locked="0"/>
    </xf>
    <xf numFmtId="37" fontId="18" fillId="3" borderId="0" xfId="18" applyNumberFormat="1" applyFont="1" applyFill="1" applyBorder="1"/>
    <xf numFmtId="37" fontId="18" fillId="0" borderId="0" xfId="18" applyNumberFormat="1" applyFont="1" applyBorder="1" applyAlignment="1" applyProtection="1">
      <alignment horizontal="center"/>
      <protection locked="0"/>
    </xf>
    <xf numFmtId="37" fontId="18" fillId="0" borderId="0" xfId="18" applyNumberFormat="1" applyFont="1" applyBorder="1" applyAlignment="1">
      <alignment horizontal="center"/>
    </xf>
    <xf numFmtId="0" fontId="18" fillId="0" borderId="9" xfId="3" applyFont="1" applyBorder="1" applyAlignment="1">
      <alignment horizontal="left"/>
    </xf>
    <xf numFmtId="167" fontId="18" fillId="0" borderId="15" xfId="18" applyNumberFormat="1" applyFont="1" applyBorder="1" applyAlignment="1" applyProtection="1">
      <alignment horizontal="center"/>
      <protection locked="0"/>
    </xf>
    <xf numFmtId="167" fontId="18" fillId="3" borderId="2" xfId="18" applyNumberFormat="1" applyFont="1" applyFill="1" applyBorder="1"/>
    <xf numFmtId="167" fontId="18" fillId="0" borderId="2" xfId="18" applyNumberFormat="1" applyFont="1" applyBorder="1" applyAlignment="1" applyProtection="1">
      <alignment horizontal="center"/>
      <protection locked="0"/>
    </xf>
    <xf numFmtId="167" fontId="18" fillId="0" borderId="2" xfId="18" applyNumberFormat="1" applyFont="1" applyBorder="1" applyAlignment="1">
      <alignment horizontal="center"/>
    </xf>
    <xf numFmtId="165" fontId="15" fillId="3" borderId="2" xfId="18" applyNumberFormat="1" applyFont="1" applyFill="1" applyBorder="1"/>
    <xf numFmtId="37" fontId="18" fillId="0" borderId="1" xfId="18" applyNumberFormat="1" applyFont="1" applyBorder="1" applyProtection="1">
      <protection locked="0"/>
    </xf>
    <xf numFmtId="37" fontId="18" fillId="3" borderId="0" xfId="18" applyNumberFormat="1" applyFont="1" applyFill="1" applyBorder="1" applyProtection="1">
      <protection locked="0"/>
    </xf>
    <xf numFmtId="37" fontId="18" fillId="0" borderId="0" xfId="18" applyNumberFormat="1" applyFont="1" applyBorder="1" applyProtection="1">
      <protection locked="0"/>
    </xf>
    <xf numFmtId="165" fontId="18" fillId="3" borderId="0" xfId="18" applyNumberFormat="1" applyFont="1" applyFill="1" applyBorder="1" applyProtection="1">
      <protection locked="0"/>
    </xf>
    <xf numFmtId="37" fontId="18" fillId="0" borderId="8" xfId="3" applyNumberFormat="1" applyFont="1" applyBorder="1"/>
    <xf numFmtId="3" fontId="18" fillId="0" borderId="0" xfId="18" applyNumberFormat="1" applyFont="1" applyBorder="1" applyProtection="1">
      <protection locked="0"/>
    </xf>
    <xf numFmtId="37" fontId="18" fillId="0" borderId="1" xfId="18" applyNumberFormat="1" applyFont="1" applyBorder="1" applyProtection="1">
      <protection locked="0"/>
    </xf>
    <xf numFmtId="37" fontId="18" fillId="3" borderId="0" xfId="18" applyNumberFormat="1" applyFont="1" applyFill="1" applyBorder="1" applyProtection="1">
      <protection locked="0"/>
    </xf>
    <xf numFmtId="37" fontId="18" fillId="0" borderId="0" xfId="18" applyNumberFormat="1" applyFont="1" applyBorder="1" applyProtection="1">
      <protection locked="0"/>
    </xf>
    <xf numFmtId="165" fontId="18" fillId="3" borderId="0" xfId="18" applyNumberFormat="1" applyFont="1" applyFill="1" applyBorder="1" applyProtection="1">
      <protection locked="0"/>
    </xf>
    <xf numFmtId="37" fontId="18" fillId="0" borderId="8" xfId="3" applyNumberFormat="1" applyFont="1" applyBorder="1"/>
    <xf numFmtId="37" fontId="18" fillId="0" borderId="0" xfId="3" applyNumberFormat="1" applyFont="1" applyBorder="1"/>
    <xf numFmtId="3" fontId="18" fillId="0" borderId="0" xfId="18" applyNumberFormat="1" applyFont="1" applyBorder="1" applyProtection="1">
      <protection locked="0"/>
    </xf>
    <xf numFmtId="37" fontId="18" fillId="3" borderId="0" xfId="18" applyNumberFormat="1" applyFont="1" applyFill="1" applyBorder="1" applyProtection="1">
      <protection locked="0"/>
    </xf>
    <xf numFmtId="37" fontId="18" fillId="0" borderId="0" xfId="18" applyNumberFormat="1" applyFont="1" applyBorder="1" applyProtection="1">
      <protection locked="0"/>
    </xf>
    <xf numFmtId="165" fontId="18" fillId="3" borderId="0" xfId="18" applyNumberFormat="1" applyFont="1" applyFill="1" applyBorder="1" applyProtection="1">
      <protection locked="0"/>
    </xf>
    <xf numFmtId="37" fontId="18" fillId="0" borderId="8" xfId="3" applyNumberFormat="1" applyFont="1" applyBorder="1"/>
    <xf numFmtId="37" fontId="18" fillId="0" borderId="0" xfId="3" applyNumberFormat="1" applyFont="1" applyBorder="1"/>
    <xf numFmtId="37" fontId="18" fillId="0" borderId="1" xfId="18" applyNumberFormat="1" applyFont="1" applyBorder="1" applyAlignment="1" applyProtection="1">
      <alignment horizontal="right"/>
      <protection locked="0"/>
    </xf>
    <xf numFmtId="37" fontId="18" fillId="0" borderId="0" xfId="18" applyNumberFormat="1" applyFont="1" applyBorder="1" applyAlignment="1" applyProtection="1">
      <alignment horizontal="right"/>
      <protection locked="0"/>
    </xf>
    <xf numFmtId="37" fontId="18" fillId="0" borderId="16" xfId="18" applyNumberFormat="1" applyFont="1" applyBorder="1" applyAlignment="1" applyProtection="1">
      <alignment horizontal="right"/>
      <protection locked="0"/>
    </xf>
    <xf numFmtId="37" fontId="18" fillId="3" borderId="3" xfId="18" applyNumberFormat="1" applyFont="1" applyFill="1" applyBorder="1" applyProtection="1">
      <protection locked="0"/>
    </xf>
    <xf numFmtId="37" fontId="18" fillId="0" borderId="3" xfId="18" applyNumberFormat="1" applyFont="1" applyBorder="1" applyAlignment="1" applyProtection="1">
      <alignment horizontal="right"/>
      <protection locked="0"/>
    </xf>
    <xf numFmtId="165" fontId="18" fillId="3" borderId="3" xfId="18" applyNumberFormat="1" applyFont="1" applyFill="1" applyBorder="1" applyProtection="1">
      <protection locked="0"/>
    </xf>
    <xf numFmtId="37" fontId="18" fillId="0" borderId="3" xfId="18" applyNumberFormat="1" applyFont="1" applyBorder="1" applyProtection="1">
      <protection locked="0"/>
    </xf>
    <xf numFmtId="37" fontId="18" fillId="0" borderId="3" xfId="3" applyNumberFormat="1" applyFont="1" applyBorder="1"/>
    <xf numFmtId="37" fontId="18" fillId="0" borderId="12" xfId="3" applyNumberFormat="1" applyFont="1" applyBorder="1"/>
    <xf numFmtId="3" fontId="18" fillId="0" borderId="0" xfId="18" applyNumberFormat="1" applyFont="1" applyBorder="1" applyAlignment="1" applyProtection="1">
      <alignment horizontal="right"/>
      <protection locked="0"/>
    </xf>
    <xf numFmtId="3" fontId="18" fillId="0" borderId="3" xfId="18" applyNumberFormat="1" applyFont="1" applyBorder="1" applyAlignment="1" applyProtection="1">
      <alignment horizontal="right"/>
      <protection locked="0"/>
    </xf>
    <xf numFmtId="167" fontId="18" fillId="0" borderId="1" xfId="18" applyNumberFormat="1" applyFont="1" applyBorder="1" applyProtection="1">
      <protection locked="0"/>
    </xf>
    <xf numFmtId="167" fontId="18" fillId="3" borderId="0" xfId="18" applyNumberFormat="1" applyFont="1" applyFill="1" applyBorder="1" applyProtection="1">
      <protection locked="0"/>
    </xf>
    <xf numFmtId="167" fontId="18" fillId="0" borderId="0" xfId="18" applyNumberFormat="1" applyFont="1" applyBorder="1" applyProtection="1">
      <protection locked="0"/>
    </xf>
    <xf numFmtId="167" fontId="18" fillId="0" borderId="0" xfId="3" applyNumberFormat="1" applyFont="1" applyBorder="1"/>
    <xf numFmtId="167" fontId="18" fillId="0" borderId="8" xfId="3" applyNumberFormat="1" applyFont="1" applyBorder="1"/>
    <xf numFmtId="167" fontId="18" fillId="3" borderId="0" xfId="18" applyNumberFormat="1" applyFont="1" applyFill="1" applyBorder="1" applyProtection="1">
      <protection locked="0"/>
    </xf>
    <xf numFmtId="167" fontId="18" fillId="0" borderId="0" xfId="18" applyNumberFormat="1" applyFont="1" applyBorder="1" applyProtection="1">
      <protection locked="0"/>
    </xf>
    <xf numFmtId="167" fontId="18" fillId="0" borderId="0" xfId="3" applyNumberFormat="1" applyFont="1" applyBorder="1"/>
    <xf numFmtId="167" fontId="18" fillId="0" borderId="8" xfId="3" applyNumberFormat="1" applyFont="1" applyBorder="1"/>
    <xf numFmtId="168" fontId="25" fillId="0" borderId="1" xfId="19" applyNumberFormat="1" applyFont="1" applyBorder="1"/>
    <xf numFmtId="0" fontId="15" fillId="0" borderId="0" xfId="3" applyFont="1"/>
    <xf numFmtId="0" fontId="15" fillId="0" borderId="0" xfId="3" applyFont="1" applyAlignment="1">
      <alignment horizontal="center"/>
    </xf>
    <xf numFmtId="0" fontId="18" fillId="0" borderId="7" xfId="3" applyNumberFormat="1" applyFont="1" applyBorder="1" applyAlignment="1" applyProtection="1">
      <alignment horizontal="left"/>
      <protection locked="0"/>
    </xf>
    <xf numFmtId="164" fontId="15" fillId="0" borderId="1" xfId="1" applyNumberFormat="1" applyFont="1" applyBorder="1"/>
    <xf numFmtId="164" fontId="15" fillId="3" borderId="0" xfId="1" applyNumberFormat="1" applyFont="1" applyFill="1" applyBorder="1"/>
    <xf numFmtId="164" fontId="15" fillId="0" borderId="0" xfId="1" applyNumberFormat="1" applyFont="1" applyBorder="1"/>
    <xf numFmtId="164" fontId="18" fillId="3" borderId="0" xfId="1" applyNumberFormat="1" applyFont="1" applyFill="1" applyBorder="1" applyProtection="1">
      <protection locked="0"/>
    </xf>
    <xf numFmtId="164" fontId="18" fillId="3" borderId="3" xfId="1" applyNumberFormat="1" applyFont="1" applyFill="1" applyBorder="1" applyProtection="1">
      <protection locked="0"/>
    </xf>
    <xf numFmtId="164" fontId="15" fillId="3" borderId="5" xfId="1" applyNumberFormat="1" applyFont="1" applyFill="1" applyBorder="1"/>
    <xf numFmtId="164" fontId="15" fillId="0" borderId="0" xfId="1" applyNumberFormat="1" applyFont="1" applyBorder="1" applyProtection="1">
      <protection locked="0"/>
    </xf>
    <xf numFmtId="0" fontId="15" fillId="0" borderId="14" xfId="3" applyNumberFormat="1" applyFont="1" applyBorder="1" applyAlignment="1" applyProtection="1">
      <alignment horizontal="center"/>
      <protection locked="0"/>
    </xf>
    <xf numFmtId="0" fontId="15" fillId="3" borderId="5" xfId="3" applyFont="1" applyFill="1" applyBorder="1" applyAlignment="1">
      <alignment horizontal="center"/>
    </xf>
    <xf numFmtId="0" fontId="15" fillId="0" borderId="5" xfId="3" applyNumberFormat="1" applyFont="1" applyBorder="1" applyAlignment="1" applyProtection="1">
      <alignment horizontal="center"/>
      <protection locked="0"/>
    </xf>
    <xf numFmtId="38" fontId="15" fillId="0" borderId="5" xfId="3" applyNumberFormat="1" applyFont="1" applyBorder="1" applyAlignment="1" applyProtection="1">
      <alignment horizontal="center"/>
      <protection locked="0"/>
    </xf>
    <xf numFmtId="0" fontId="15" fillId="0" borderId="5" xfId="3" applyFont="1" applyBorder="1" applyAlignment="1">
      <alignment horizontal="center"/>
    </xf>
    <xf numFmtId="0" fontId="15" fillId="5" borderId="5" xfId="3" applyFont="1" applyFill="1" applyBorder="1" applyAlignment="1">
      <alignment horizontal="center"/>
    </xf>
    <xf numFmtId="0" fontId="15" fillId="5" borderId="6" xfId="3" applyFont="1" applyFill="1" applyBorder="1" applyAlignment="1">
      <alignment horizontal="center"/>
    </xf>
    <xf numFmtId="0" fontId="15" fillId="0" borderId="4" xfId="3" applyFont="1" applyFill="1" applyBorder="1" applyAlignment="1">
      <alignment horizontal="center"/>
    </xf>
    <xf numFmtId="0" fontId="15" fillId="3" borderId="5" xfId="3" applyFont="1" applyFill="1" applyBorder="1" applyAlignment="1">
      <alignment horizontal="centerContinuous"/>
    </xf>
    <xf numFmtId="0" fontId="15" fillId="0" borderId="5" xfId="3" applyFont="1" applyFill="1" applyBorder="1" applyAlignment="1">
      <alignment horizontal="center"/>
    </xf>
    <xf numFmtId="0" fontId="15" fillId="0" borderId="6" xfId="3" applyFont="1" applyFill="1" applyBorder="1" applyAlignment="1">
      <alignment horizontal="center"/>
    </xf>
    <xf numFmtId="0" fontId="15" fillId="0" borderId="9" xfId="3" applyFont="1" applyBorder="1" applyAlignment="1">
      <alignment horizontal="center"/>
    </xf>
    <xf numFmtId="0" fontId="15" fillId="0" borderId="15" xfId="3" applyNumberFormat="1" applyFont="1" applyBorder="1" applyAlignment="1" applyProtection="1">
      <alignment horizontal="center"/>
      <protection locked="0"/>
    </xf>
    <xf numFmtId="0" fontId="15" fillId="3" borderId="2" xfId="3" applyFont="1" applyFill="1" applyBorder="1" applyAlignment="1">
      <alignment horizontal="center"/>
    </xf>
    <xf numFmtId="0" fontId="15" fillId="0" borderId="2" xfId="3" applyNumberFormat="1" applyFont="1" applyBorder="1" applyAlignment="1" applyProtection="1">
      <alignment horizontal="center"/>
      <protection locked="0"/>
    </xf>
    <xf numFmtId="38" fontId="15" fillId="0" borderId="2" xfId="3" applyNumberFormat="1" applyFont="1" applyBorder="1" applyAlignment="1" applyProtection="1">
      <alignment horizontal="center"/>
      <protection locked="0"/>
    </xf>
    <xf numFmtId="0" fontId="15" fillId="0" borderId="2" xfId="3" applyFont="1" applyBorder="1" applyAlignment="1">
      <alignment horizontal="center"/>
    </xf>
    <xf numFmtId="0" fontId="15" fillId="5" borderId="2" xfId="3" applyFont="1" applyFill="1" applyBorder="1" applyAlignment="1">
      <alignment horizontal="center"/>
    </xf>
    <xf numFmtId="0" fontId="15" fillId="5" borderId="10" xfId="3" applyFont="1" applyFill="1" applyBorder="1" applyAlignment="1">
      <alignment horizontal="center"/>
    </xf>
    <xf numFmtId="0" fontId="15" fillId="0" borderId="9" xfId="3" applyFont="1" applyFill="1" applyBorder="1" applyAlignment="1">
      <alignment horizontal="center"/>
    </xf>
    <xf numFmtId="0" fontId="15" fillId="3" borderId="2" xfId="3" applyFont="1" applyFill="1" applyBorder="1"/>
    <xf numFmtId="0" fontId="15" fillId="0" borderId="2" xfId="3" applyFont="1" applyFill="1" applyBorder="1" applyAlignment="1">
      <alignment horizontal="center"/>
    </xf>
    <xf numFmtId="0" fontId="15" fillId="0" borderId="10" xfId="3" applyFont="1" applyFill="1" applyBorder="1" applyAlignment="1">
      <alignment horizontal="center"/>
    </xf>
    <xf numFmtId="0" fontId="16" fillId="0" borderId="4" xfId="3" applyFont="1" applyBorder="1" applyAlignment="1">
      <alignment horizontal="left"/>
    </xf>
    <xf numFmtId="0" fontId="18" fillId="0" borderId="7" xfId="3" applyFont="1" applyBorder="1" applyAlignment="1">
      <alignment horizontal="left"/>
    </xf>
    <xf numFmtId="0" fontId="18" fillId="3" borderId="7" xfId="3" applyFont="1" applyFill="1" applyBorder="1" applyAlignment="1">
      <alignment horizontal="left"/>
    </xf>
    <xf numFmtId="167" fontId="18" fillId="3" borderId="0" xfId="18" applyNumberFormat="1" applyFont="1" applyFill="1" applyBorder="1" applyProtection="1">
      <protection locked="0"/>
    </xf>
    <xf numFmtId="167" fontId="18" fillId="0" borderId="0" xfId="18" applyNumberFormat="1" applyFont="1" applyBorder="1" applyProtection="1">
      <protection locked="0"/>
    </xf>
    <xf numFmtId="167" fontId="18" fillId="0" borderId="0" xfId="3" applyNumberFormat="1" applyFont="1" applyBorder="1"/>
    <xf numFmtId="167" fontId="18" fillId="0" borderId="8" xfId="3" applyNumberFormat="1" applyFont="1" applyBorder="1"/>
    <xf numFmtId="167" fontId="18" fillId="0" borderId="1" xfId="18" applyNumberFormat="1" applyFont="1" applyBorder="1" applyAlignment="1" applyProtection="1">
      <alignment horizontal="right"/>
      <protection locked="0"/>
    </xf>
    <xf numFmtId="167" fontId="18" fillId="0" borderId="0" xfId="18" applyNumberFormat="1" applyFont="1" applyBorder="1" applyAlignment="1" applyProtection="1">
      <alignment horizontal="right"/>
      <protection locked="0"/>
    </xf>
    <xf numFmtId="167" fontId="18" fillId="0" borderId="16" xfId="18" applyNumberFormat="1" applyFont="1" applyBorder="1" applyAlignment="1" applyProtection="1">
      <alignment horizontal="right"/>
      <protection locked="0"/>
    </xf>
    <xf numFmtId="167" fontId="18" fillId="3" borderId="3" xfId="18" applyNumberFormat="1" applyFont="1" applyFill="1" applyBorder="1" applyProtection="1">
      <protection locked="0"/>
    </xf>
    <xf numFmtId="167" fontId="18" fillId="0" borderId="3" xfId="18" applyNumberFormat="1" applyFont="1" applyBorder="1" applyAlignment="1" applyProtection="1">
      <alignment horizontal="right"/>
      <protection locked="0"/>
    </xf>
    <xf numFmtId="167" fontId="18" fillId="0" borderId="3" xfId="18" applyNumberFormat="1" applyFont="1" applyBorder="1" applyProtection="1">
      <protection locked="0"/>
    </xf>
    <xf numFmtId="167" fontId="18" fillId="0" borderId="3" xfId="3" applyNumberFormat="1" applyFont="1" applyBorder="1"/>
    <xf numFmtId="167" fontId="18" fillId="0" borderId="12" xfId="3" applyNumberFormat="1" applyFont="1" applyBorder="1"/>
    <xf numFmtId="0" fontId="15" fillId="0" borderId="7" xfId="3" applyFont="1" applyBorder="1" applyAlignment="1">
      <alignment horizontal="left"/>
    </xf>
    <xf numFmtId="0" fontId="18" fillId="0" borderId="9" xfId="3" applyFont="1" applyBorder="1" applyAlignment="1">
      <alignment horizontal="left"/>
    </xf>
    <xf numFmtId="37" fontId="18" fillId="0" borderId="1" xfId="18" applyNumberFormat="1" applyFont="1" applyBorder="1" applyProtection="1">
      <protection locked="0"/>
    </xf>
    <xf numFmtId="37" fontId="18" fillId="3" borderId="0" xfId="18" applyNumberFormat="1" applyFont="1" applyFill="1" applyBorder="1" applyProtection="1">
      <protection locked="0"/>
    </xf>
    <xf numFmtId="37" fontId="18" fillId="0" borderId="0" xfId="18" applyNumberFormat="1" applyFont="1" applyBorder="1" applyProtection="1">
      <protection locked="0"/>
    </xf>
    <xf numFmtId="165" fontId="18" fillId="3" borderId="0" xfId="18" applyNumberFormat="1" applyFont="1" applyFill="1" applyBorder="1" applyProtection="1">
      <protection locked="0"/>
    </xf>
    <xf numFmtId="37" fontId="18" fillId="0" borderId="8" xfId="3" applyNumberFormat="1" applyFont="1" applyBorder="1"/>
    <xf numFmtId="37" fontId="18" fillId="0" borderId="1" xfId="18" applyNumberFormat="1" applyFont="1" applyBorder="1" applyProtection="1">
      <protection locked="0"/>
    </xf>
    <xf numFmtId="37" fontId="18" fillId="3" borderId="0" xfId="18" applyNumberFormat="1" applyFont="1" applyFill="1" applyBorder="1" applyProtection="1">
      <protection locked="0"/>
    </xf>
    <xf numFmtId="37" fontId="18" fillId="0" borderId="0" xfId="18" applyNumberFormat="1" applyFont="1" applyBorder="1" applyProtection="1">
      <protection locked="0"/>
    </xf>
    <xf numFmtId="165" fontId="18" fillId="3" borderId="0" xfId="18" applyNumberFormat="1" applyFont="1" applyFill="1" applyBorder="1" applyProtection="1">
      <protection locked="0"/>
    </xf>
    <xf numFmtId="37" fontId="18" fillId="0" borderId="8" xfId="3" applyNumberFormat="1" applyFont="1" applyBorder="1"/>
    <xf numFmtId="37" fontId="18" fillId="0" borderId="0" xfId="3" applyNumberFormat="1" applyFont="1" applyBorder="1"/>
    <xf numFmtId="37" fontId="18" fillId="3" borderId="0" xfId="18" applyNumberFormat="1" applyFont="1" applyFill="1" applyBorder="1" applyProtection="1">
      <protection locked="0"/>
    </xf>
    <xf numFmtId="37" fontId="18" fillId="0" borderId="0" xfId="18" applyNumberFormat="1" applyFont="1" applyBorder="1" applyProtection="1">
      <protection locked="0"/>
    </xf>
    <xf numFmtId="165" fontId="18" fillId="3" borderId="0" xfId="18" applyNumberFormat="1" applyFont="1" applyFill="1" applyBorder="1" applyProtection="1">
      <protection locked="0"/>
    </xf>
    <xf numFmtId="37" fontId="18" fillId="0" borderId="8" xfId="3" applyNumberFormat="1" applyFont="1" applyBorder="1"/>
    <xf numFmtId="37" fontId="18" fillId="0" borderId="0" xfId="3" applyNumberFormat="1" applyFont="1" applyBorder="1"/>
    <xf numFmtId="37" fontId="18" fillId="0" borderId="1" xfId="18" applyNumberFormat="1" applyFont="1" applyBorder="1" applyAlignment="1" applyProtection="1">
      <alignment horizontal="right"/>
      <protection locked="0"/>
    </xf>
    <xf numFmtId="37" fontId="18" fillId="0" borderId="0" xfId="18" applyNumberFormat="1" applyFont="1" applyBorder="1" applyAlignment="1" applyProtection="1">
      <alignment horizontal="right"/>
      <protection locked="0"/>
    </xf>
    <xf numFmtId="37" fontId="18" fillId="0" borderId="16" xfId="18" applyNumberFormat="1" applyFont="1" applyBorder="1" applyAlignment="1" applyProtection="1">
      <alignment horizontal="right"/>
      <protection locked="0"/>
    </xf>
    <xf numFmtId="37" fontId="18" fillId="3" borderId="3" xfId="18" applyNumberFormat="1" applyFont="1" applyFill="1" applyBorder="1" applyProtection="1">
      <protection locked="0"/>
    </xf>
    <xf numFmtId="37" fontId="18" fillId="0" borderId="3" xfId="18" applyNumberFormat="1" applyFont="1" applyBorder="1" applyAlignment="1" applyProtection="1">
      <alignment horizontal="right"/>
      <protection locked="0"/>
    </xf>
    <xf numFmtId="165" fontId="18" fillId="3" borderId="3" xfId="18" applyNumberFormat="1" applyFont="1" applyFill="1" applyBorder="1" applyProtection="1">
      <protection locked="0"/>
    </xf>
    <xf numFmtId="37" fontId="18" fillId="0" borderId="3" xfId="18" applyNumberFormat="1" applyFont="1" applyBorder="1" applyProtection="1">
      <protection locked="0"/>
    </xf>
    <xf numFmtId="37" fontId="18" fillId="0" borderId="3" xfId="3" applyNumberFormat="1" applyFont="1" applyBorder="1"/>
    <xf numFmtId="37" fontId="18" fillId="0" borderId="12" xfId="3" applyNumberFormat="1" applyFont="1" applyBorder="1"/>
    <xf numFmtId="167" fontId="18" fillId="0" borderId="1" xfId="18" applyNumberFormat="1" applyFont="1" applyBorder="1" applyProtection="1">
      <protection locked="0"/>
    </xf>
    <xf numFmtId="167" fontId="18" fillId="3" borderId="0" xfId="18" applyNumberFormat="1" applyFont="1" applyFill="1" applyBorder="1" applyProtection="1">
      <protection locked="0"/>
    </xf>
    <xf numFmtId="167" fontId="18" fillId="0" borderId="0" xfId="18" applyNumberFormat="1" applyFont="1" applyBorder="1" applyProtection="1">
      <protection locked="0"/>
    </xf>
    <xf numFmtId="167" fontId="18" fillId="0" borderId="0" xfId="3" applyNumberFormat="1" applyFont="1" applyBorder="1"/>
    <xf numFmtId="167" fontId="18" fillId="0" borderId="8" xfId="3" applyNumberFormat="1" applyFont="1" applyBorder="1"/>
    <xf numFmtId="167" fontId="18" fillId="3" borderId="0" xfId="18" applyNumberFormat="1" applyFont="1" applyFill="1" applyBorder="1" applyProtection="1">
      <protection locked="0"/>
    </xf>
    <xf numFmtId="167" fontId="18" fillId="0" borderId="0" xfId="18" applyNumberFormat="1" applyFont="1" applyBorder="1" applyProtection="1">
      <protection locked="0"/>
    </xf>
    <xf numFmtId="167" fontId="18" fillId="0" borderId="0" xfId="3" applyNumberFormat="1" applyFont="1" applyBorder="1"/>
    <xf numFmtId="167" fontId="18" fillId="0" borderId="8" xfId="3" applyNumberFormat="1" applyFont="1" applyBorder="1"/>
    <xf numFmtId="168" fontId="25" fillId="0" borderId="1" xfId="19" applyNumberFormat="1" applyFont="1" applyBorder="1"/>
    <xf numFmtId="167" fontId="18" fillId="3" borderId="0" xfId="18" applyNumberFormat="1" applyFont="1" applyFill="1" applyBorder="1" applyProtection="1">
      <protection locked="0"/>
    </xf>
    <xf numFmtId="167" fontId="18" fillId="0" borderId="0" xfId="18" applyNumberFormat="1" applyFont="1" applyBorder="1" applyProtection="1">
      <protection locked="0"/>
    </xf>
    <xf numFmtId="167" fontId="18" fillId="0" borderId="0" xfId="3" applyNumberFormat="1" applyFont="1" applyBorder="1"/>
    <xf numFmtId="167" fontId="18" fillId="0" borderId="8" xfId="3" applyNumberFormat="1" applyFont="1" applyBorder="1"/>
    <xf numFmtId="167" fontId="18" fillId="0" borderId="1" xfId="18" applyNumberFormat="1" applyFont="1" applyBorder="1" applyAlignment="1" applyProtection="1">
      <alignment horizontal="right"/>
      <protection locked="0"/>
    </xf>
    <xf numFmtId="167" fontId="18" fillId="0" borderId="0" xfId="18" applyNumberFormat="1" applyFont="1" applyBorder="1" applyAlignment="1" applyProtection="1">
      <alignment horizontal="right"/>
      <protection locked="0"/>
    </xf>
    <xf numFmtId="167" fontId="18" fillId="0" borderId="16" xfId="18" applyNumberFormat="1" applyFont="1" applyBorder="1" applyAlignment="1" applyProtection="1">
      <alignment horizontal="right"/>
      <protection locked="0"/>
    </xf>
    <xf numFmtId="167" fontId="18" fillId="3" borderId="3" xfId="18" applyNumberFormat="1" applyFont="1" applyFill="1" applyBorder="1" applyProtection="1">
      <protection locked="0"/>
    </xf>
    <xf numFmtId="167" fontId="18" fillId="0" borderId="3" xfId="18" applyNumberFormat="1" applyFont="1" applyBorder="1" applyAlignment="1" applyProtection="1">
      <alignment horizontal="right"/>
      <protection locked="0"/>
    </xf>
    <xf numFmtId="167" fontId="18" fillId="0" borderId="3" xfId="18" applyNumberFormat="1" applyFont="1" applyBorder="1" applyProtection="1">
      <protection locked="0"/>
    </xf>
    <xf numFmtId="167" fontId="18" fillId="0" borderId="3" xfId="3" applyNumberFormat="1" applyFont="1" applyBorder="1"/>
    <xf numFmtId="167" fontId="18" fillId="0" borderId="12" xfId="3" applyNumberFormat="1" applyFont="1" applyBorder="1"/>
    <xf numFmtId="165" fontId="15" fillId="3" borderId="0" xfId="18" applyNumberFormat="1" applyFont="1" applyFill="1" applyBorder="1"/>
    <xf numFmtId="37" fontId="18" fillId="0" borderId="0" xfId="18" applyNumberFormat="1" applyFont="1" applyBorder="1" applyAlignment="1">
      <alignment horizontal="center"/>
    </xf>
    <xf numFmtId="167" fontId="18" fillId="0" borderId="15" xfId="18" applyNumberFormat="1" applyFont="1" applyBorder="1" applyAlignment="1" applyProtection="1">
      <alignment horizontal="center"/>
      <protection locked="0"/>
    </xf>
    <xf numFmtId="167" fontId="18" fillId="3" borderId="2" xfId="18" applyNumberFormat="1" applyFont="1" applyFill="1" applyBorder="1"/>
    <xf numFmtId="167" fontId="18" fillId="0" borderId="2" xfId="18" applyNumberFormat="1" applyFont="1" applyBorder="1" applyAlignment="1" applyProtection="1">
      <alignment horizontal="center"/>
      <protection locked="0"/>
    </xf>
    <xf numFmtId="167" fontId="18" fillId="0" borderId="2" xfId="18" applyNumberFormat="1" applyFont="1" applyBorder="1" applyAlignment="1">
      <alignment horizontal="center"/>
    </xf>
    <xf numFmtId="165" fontId="15" fillId="3" borderId="2" xfId="18" applyNumberFormat="1" applyFont="1" applyFill="1" applyBorder="1"/>
    <xf numFmtId="0" fontId="18" fillId="0" borderId="1" xfId="18" applyNumberFormat="1" applyFont="1" applyBorder="1" applyAlignment="1" applyProtection="1">
      <alignment horizontal="center"/>
      <protection locked="0"/>
    </xf>
    <xf numFmtId="0" fontId="18" fillId="3" borderId="0" xfId="18" applyNumberFormat="1" applyFont="1" applyFill="1" applyBorder="1"/>
    <xf numFmtId="0" fontId="18" fillId="0" borderId="0" xfId="18" applyNumberFormat="1" applyFont="1" applyBorder="1" applyAlignment="1" applyProtection="1">
      <alignment horizontal="center"/>
      <protection locked="0"/>
    </xf>
    <xf numFmtId="0" fontId="18" fillId="0" borderId="0" xfId="18" applyNumberFormat="1" applyFont="1" applyBorder="1" applyAlignment="1">
      <alignment horizontal="center"/>
    </xf>
    <xf numFmtId="0" fontId="0" fillId="0" borderId="0" xfId="0"/>
    <xf numFmtId="0" fontId="15" fillId="0" borderId="0" xfId="3" applyFont="1"/>
    <xf numFmtId="0" fontId="15" fillId="0" borderId="0" xfId="3" applyFont="1" applyAlignment="1">
      <alignment horizontal="center"/>
    </xf>
    <xf numFmtId="0" fontId="15" fillId="0" borderId="9" xfId="3" applyFont="1" applyBorder="1" applyAlignment="1">
      <alignment horizontal="left"/>
    </xf>
    <xf numFmtId="0" fontId="18" fillId="0" borderId="7" xfId="3" applyNumberFormat="1" applyFont="1" applyBorder="1" applyAlignment="1" applyProtection="1">
      <alignment horizontal="left"/>
      <protection locked="0"/>
    </xf>
    <xf numFmtId="0" fontId="18" fillId="0" borderId="11" xfId="3" applyNumberFormat="1" applyFont="1" applyBorder="1" applyAlignment="1" applyProtection="1">
      <alignment horizontal="left"/>
      <protection locked="0"/>
    </xf>
    <xf numFmtId="0" fontId="23" fillId="0" borderId="0" xfId="3" applyFont="1" applyAlignment="1">
      <alignment horizontal="left"/>
    </xf>
    <xf numFmtId="0" fontId="23" fillId="0" borderId="0" xfId="3" applyFont="1" applyFill="1" applyAlignment="1">
      <alignment horizontal="left"/>
    </xf>
    <xf numFmtId="0" fontId="15" fillId="0" borderId="18" xfId="3" applyFont="1" applyBorder="1" applyAlignment="1">
      <alignment horizontal="center"/>
    </xf>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164" fontId="15" fillId="0" borderId="15" xfId="1" applyNumberFormat="1" applyFont="1" applyBorder="1" applyProtection="1">
      <protection locked="0"/>
    </xf>
    <xf numFmtId="164" fontId="15" fillId="0" borderId="2" xfId="1" applyNumberFormat="1" applyFont="1" applyBorder="1" applyProtection="1">
      <protection locked="0"/>
    </xf>
    <xf numFmtId="164" fontId="15" fillId="3" borderId="2" xfId="1" applyNumberFormat="1" applyFont="1" applyFill="1" applyBorder="1" applyProtection="1">
      <protection locked="0"/>
    </xf>
    <xf numFmtId="164" fontId="15" fillId="0" borderId="1" xfId="1" applyNumberFormat="1" applyFont="1" applyBorder="1"/>
    <xf numFmtId="164" fontId="15" fillId="3" borderId="0" xfId="1" applyNumberFormat="1" applyFont="1" applyFill="1" applyBorder="1"/>
    <xf numFmtId="164" fontId="15" fillId="0" borderId="0" xfId="1" applyNumberFormat="1" applyFont="1" applyBorder="1"/>
    <xf numFmtId="164" fontId="18" fillId="0" borderId="1" xfId="1" applyNumberFormat="1" applyFont="1" applyBorder="1" applyProtection="1">
      <protection locked="0"/>
    </xf>
    <xf numFmtId="164" fontId="18" fillId="3" borderId="0" xfId="1" applyNumberFormat="1" applyFont="1" applyFill="1" applyBorder="1" applyProtection="1">
      <protection locked="0"/>
    </xf>
    <xf numFmtId="164" fontId="18" fillId="0" borderId="0" xfId="1" applyNumberFormat="1" applyFont="1" applyBorder="1" applyProtection="1">
      <protection locked="0"/>
    </xf>
    <xf numFmtId="164" fontId="18" fillId="3" borderId="3" xfId="1" applyNumberFormat="1" applyFont="1" applyFill="1" applyBorder="1" applyProtection="1">
      <protection locked="0"/>
    </xf>
    <xf numFmtId="164" fontId="18" fillId="0" borderId="3" xfId="1" applyNumberFormat="1" applyFont="1" applyBorder="1" applyProtection="1">
      <protection locked="0"/>
    </xf>
    <xf numFmtId="164" fontId="15" fillId="3" borderId="5" xfId="1" applyNumberFormat="1" applyFont="1" applyFill="1" applyBorder="1"/>
    <xf numFmtId="164" fontId="15" fillId="0" borderId="0" xfId="1" applyNumberFormat="1" applyFont="1" applyBorder="1" applyProtection="1">
      <protection locked="0"/>
    </xf>
    <xf numFmtId="0" fontId="15" fillId="0" borderId="14" xfId="3" applyNumberFormat="1" applyFont="1" applyBorder="1" applyAlignment="1" applyProtection="1">
      <alignment horizontal="center"/>
      <protection locked="0"/>
    </xf>
    <xf numFmtId="0" fontId="15" fillId="3" borderId="5" xfId="3" applyFont="1" applyFill="1" applyBorder="1" applyAlignment="1">
      <alignment horizontal="center"/>
    </xf>
    <xf numFmtId="0" fontId="15" fillId="0" borderId="5" xfId="3" applyNumberFormat="1" applyFont="1" applyBorder="1" applyAlignment="1" applyProtection="1">
      <alignment horizontal="center"/>
      <protection locked="0"/>
    </xf>
    <xf numFmtId="38" fontId="15" fillId="0" borderId="5" xfId="3" applyNumberFormat="1" applyFont="1" applyBorder="1" applyAlignment="1" applyProtection="1">
      <alignment horizontal="center"/>
      <protection locked="0"/>
    </xf>
    <xf numFmtId="0" fontId="15" fillId="0" borderId="5" xfId="3" applyFont="1" applyBorder="1" applyAlignment="1">
      <alignment horizontal="center"/>
    </xf>
    <xf numFmtId="0" fontId="15" fillId="5" borderId="5" xfId="3" applyFont="1" applyFill="1" applyBorder="1" applyAlignment="1">
      <alignment horizontal="center"/>
    </xf>
    <xf numFmtId="0" fontId="15" fillId="5" borderId="6" xfId="3" applyFont="1" applyFill="1" applyBorder="1" applyAlignment="1">
      <alignment horizontal="center"/>
    </xf>
    <xf numFmtId="0" fontId="15" fillId="0" borderId="4" xfId="3" applyFont="1" applyFill="1" applyBorder="1" applyAlignment="1">
      <alignment horizontal="center"/>
    </xf>
    <xf numFmtId="0" fontId="15" fillId="3" borderId="5" xfId="3" applyFont="1" applyFill="1" applyBorder="1" applyAlignment="1">
      <alignment horizontal="centerContinuous"/>
    </xf>
    <xf numFmtId="0" fontId="15" fillId="0" borderId="5" xfId="3" applyFont="1" applyFill="1" applyBorder="1" applyAlignment="1">
      <alignment horizontal="center"/>
    </xf>
    <xf numFmtId="0" fontId="15" fillId="0" borderId="6" xfId="3" applyFont="1" applyFill="1" applyBorder="1" applyAlignment="1">
      <alignment horizontal="center"/>
    </xf>
    <xf numFmtId="0" fontId="15" fillId="0" borderId="9" xfId="3" applyFont="1" applyBorder="1" applyAlignment="1">
      <alignment horizontal="center"/>
    </xf>
    <xf numFmtId="0" fontId="15" fillId="0" borderId="15" xfId="3" applyNumberFormat="1" applyFont="1" applyBorder="1" applyAlignment="1" applyProtection="1">
      <alignment horizontal="center"/>
      <protection locked="0"/>
    </xf>
    <xf numFmtId="0" fontId="15" fillId="3" borderId="2" xfId="3" applyFont="1" applyFill="1" applyBorder="1" applyAlignment="1">
      <alignment horizontal="center"/>
    </xf>
    <xf numFmtId="0" fontId="15" fillId="0" borderId="2" xfId="3" applyNumberFormat="1" applyFont="1" applyBorder="1" applyAlignment="1" applyProtection="1">
      <alignment horizontal="center"/>
      <protection locked="0"/>
    </xf>
    <xf numFmtId="38" fontId="15" fillId="0" borderId="2" xfId="3" applyNumberFormat="1" applyFont="1" applyBorder="1" applyAlignment="1" applyProtection="1">
      <alignment horizontal="center"/>
      <protection locked="0"/>
    </xf>
    <xf numFmtId="0" fontId="15" fillId="0" borderId="2" xfId="3" applyFont="1" applyBorder="1" applyAlignment="1">
      <alignment horizontal="center"/>
    </xf>
    <xf numFmtId="0" fontId="15" fillId="5" borderId="2" xfId="3" applyFont="1" applyFill="1" applyBorder="1" applyAlignment="1">
      <alignment horizontal="center"/>
    </xf>
    <xf numFmtId="0" fontId="15" fillId="5" borderId="10" xfId="3" applyFont="1" applyFill="1" applyBorder="1" applyAlignment="1">
      <alignment horizontal="center"/>
    </xf>
    <xf numFmtId="0" fontId="15" fillId="0" borderId="9" xfId="3" applyFont="1" applyFill="1" applyBorder="1" applyAlignment="1">
      <alignment horizontal="center"/>
    </xf>
    <xf numFmtId="0" fontId="15" fillId="3" borderId="2" xfId="3" applyFont="1" applyFill="1" applyBorder="1"/>
    <xf numFmtId="0" fontId="15" fillId="0" borderId="2" xfId="3" applyFont="1" applyFill="1" applyBorder="1" applyAlignment="1">
      <alignment horizontal="center"/>
    </xf>
    <xf numFmtId="0" fontId="15" fillId="0" borderId="10" xfId="3" applyFont="1" applyFill="1" applyBorder="1" applyAlignment="1">
      <alignment horizontal="center"/>
    </xf>
    <xf numFmtId="0" fontId="16" fillId="0" borderId="4" xfId="3" applyFont="1" applyBorder="1" applyAlignment="1">
      <alignment horizontal="left"/>
    </xf>
    <xf numFmtId="37" fontId="18" fillId="0" borderId="1" xfId="18" applyNumberFormat="1" applyFont="1" applyBorder="1" applyProtection="1">
      <protection locked="0"/>
    </xf>
    <xf numFmtId="37" fontId="18" fillId="3" borderId="0" xfId="18" applyNumberFormat="1" applyFont="1" applyFill="1" applyBorder="1" applyProtection="1">
      <protection locked="0"/>
    </xf>
    <xf numFmtId="37" fontId="18" fillId="0" borderId="0" xfId="18" applyNumberFormat="1" applyFont="1" applyBorder="1" applyProtection="1">
      <protection locked="0"/>
    </xf>
    <xf numFmtId="165" fontId="18" fillId="3" borderId="0" xfId="18" applyNumberFormat="1" applyFont="1" applyFill="1" applyBorder="1" applyProtection="1">
      <protection locked="0"/>
    </xf>
    <xf numFmtId="37" fontId="18" fillId="0" borderId="8" xfId="3" applyNumberFormat="1" applyFont="1" applyBorder="1"/>
    <xf numFmtId="37" fontId="18" fillId="0" borderId="0" xfId="3" applyNumberFormat="1" applyFont="1" applyBorder="1"/>
    <xf numFmtId="0" fontId="18" fillId="0" borderId="7" xfId="3" applyFont="1" applyBorder="1" applyAlignment="1">
      <alignment horizontal="left"/>
    </xf>
    <xf numFmtId="37" fontId="18" fillId="0" borderId="1" xfId="18" applyNumberFormat="1" applyFont="1" applyBorder="1" applyAlignment="1" applyProtection="1">
      <alignment horizontal="right"/>
      <protection locked="0"/>
    </xf>
    <xf numFmtId="37" fontId="18" fillId="0" borderId="0" xfId="18" applyNumberFormat="1" applyFont="1" applyBorder="1" applyAlignment="1" applyProtection="1">
      <alignment horizontal="right"/>
      <protection locked="0"/>
    </xf>
    <xf numFmtId="37" fontId="18" fillId="0" borderId="16" xfId="18" applyNumberFormat="1" applyFont="1" applyBorder="1" applyAlignment="1" applyProtection="1">
      <alignment horizontal="right"/>
      <protection locked="0"/>
    </xf>
    <xf numFmtId="37" fontId="18" fillId="3" borderId="3" xfId="18" applyNumberFormat="1" applyFont="1" applyFill="1" applyBorder="1" applyProtection="1">
      <protection locked="0"/>
    </xf>
    <xf numFmtId="37" fontId="18" fillId="0" borderId="3" xfId="18" applyNumberFormat="1" applyFont="1" applyBorder="1" applyAlignment="1" applyProtection="1">
      <alignment horizontal="right"/>
      <protection locked="0"/>
    </xf>
    <xf numFmtId="165" fontId="18" fillId="3" borderId="3" xfId="18" applyNumberFormat="1" applyFont="1" applyFill="1" applyBorder="1" applyProtection="1">
      <protection locked="0"/>
    </xf>
    <xf numFmtId="37" fontId="18" fillId="0" borderId="3" xfId="18" applyNumberFormat="1" applyFont="1" applyBorder="1" applyProtection="1">
      <protection locked="0"/>
    </xf>
    <xf numFmtId="37" fontId="18" fillId="0" borderId="3" xfId="3" applyNumberFormat="1" applyFont="1" applyBorder="1"/>
    <xf numFmtId="37" fontId="18" fillId="0" borderId="12" xfId="3" applyNumberFormat="1" applyFont="1" applyBorder="1"/>
    <xf numFmtId="0" fontId="18" fillId="3" borderId="7" xfId="3" applyFont="1" applyFill="1" applyBorder="1" applyAlignment="1">
      <alignment horizontal="left"/>
    </xf>
    <xf numFmtId="0" fontId="15" fillId="0" borderId="7" xfId="3" applyFont="1" applyBorder="1" applyAlignment="1">
      <alignment horizontal="left"/>
    </xf>
    <xf numFmtId="0" fontId="18" fillId="0" borderId="9" xfId="3" applyFont="1" applyBorder="1" applyAlignment="1">
      <alignment horizontal="left"/>
    </xf>
    <xf numFmtId="0" fontId="15" fillId="0" borderId="0" xfId="3" applyFont="1"/>
    <xf numFmtId="38" fontId="15" fillId="0" borderId="0" xfId="3" applyNumberFormat="1" applyFont="1"/>
    <xf numFmtId="0" fontId="15" fillId="0" borderId="0" xfId="3" applyFont="1" applyAlignment="1">
      <alignment horizontal="center"/>
    </xf>
    <xf numFmtId="0" fontId="15" fillId="0" borderId="0" xfId="3" applyFont="1" applyAlignment="1">
      <alignment horizontal="left"/>
    </xf>
    <xf numFmtId="0" fontId="15" fillId="0" borderId="9" xfId="3" applyFont="1" applyBorder="1" applyAlignment="1">
      <alignment horizontal="left"/>
    </xf>
    <xf numFmtId="0" fontId="18" fillId="0" borderId="7" xfId="3" applyNumberFormat="1" applyFont="1" applyBorder="1" applyAlignment="1" applyProtection="1">
      <alignment horizontal="left"/>
      <protection locked="0"/>
    </xf>
    <xf numFmtId="0" fontId="18" fillId="0" borderId="11" xfId="3" applyNumberFormat="1" applyFont="1" applyBorder="1" applyAlignment="1" applyProtection="1">
      <alignment horizontal="left"/>
      <protection locked="0"/>
    </xf>
    <xf numFmtId="0" fontId="15" fillId="0" borderId="18" xfId="3" applyFont="1" applyBorder="1" applyAlignment="1">
      <alignment horizontal="center"/>
    </xf>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164" fontId="15" fillId="0" borderId="15" xfId="1" applyNumberFormat="1" applyFont="1" applyBorder="1" applyProtection="1">
      <protection locked="0"/>
    </xf>
    <xf numFmtId="164" fontId="15" fillId="0" borderId="2" xfId="1" applyNumberFormat="1" applyFont="1" applyBorder="1" applyProtection="1">
      <protection locked="0"/>
    </xf>
    <xf numFmtId="164" fontId="15" fillId="3" borderId="2" xfId="1" applyNumberFormat="1" applyFont="1" applyFill="1" applyBorder="1" applyProtection="1">
      <protection locked="0"/>
    </xf>
    <xf numFmtId="164" fontId="15" fillId="0" borderId="1" xfId="1" applyNumberFormat="1" applyFont="1" applyBorder="1"/>
    <xf numFmtId="164" fontId="15" fillId="3" borderId="0" xfId="1" applyNumberFormat="1" applyFont="1" applyFill="1" applyBorder="1"/>
    <xf numFmtId="164" fontId="15" fillId="0" borderId="0" xfId="1" applyNumberFormat="1" applyFont="1" applyBorder="1"/>
    <xf numFmtId="164" fontId="18" fillId="0" borderId="1" xfId="1" applyNumberFormat="1" applyFont="1" applyBorder="1" applyProtection="1">
      <protection locked="0"/>
    </xf>
    <xf numFmtId="164" fontId="18" fillId="3" borderId="0" xfId="1" applyNumberFormat="1" applyFont="1" applyFill="1" applyBorder="1" applyProtection="1">
      <protection locked="0"/>
    </xf>
    <xf numFmtId="164" fontId="18" fillId="0" borderId="0" xfId="1" applyNumberFormat="1" applyFont="1" applyBorder="1" applyProtection="1">
      <protection locked="0"/>
    </xf>
    <xf numFmtId="164" fontId="18" fillId="3" borderId="3" xfId="1" applyNumberFormat="1" applyFont="1" applyFill="1" applyBorder="1" applyProtection="1">
      <protection locked="0"/>
    </xf>
    <xf numFmtId="37" fontId="18" fillId="3" borderId="0" xfId="1" applyNumberFormat="1" applyFont="1" applyFill="1" applyBorder="1" applyProtection="1">
      <protection locked="0"/>
    </xf>
    <xf numFmtId="37" fontId="18" fillId="0" borderId="0" xfId="1" applyNumberFormat="1" applyFont="1" applyBorder="1" applyProtection="1">
      <protection locked="0"/>
    </xf>
    <xf numFmtId="37" fontId="18" fillId="3" borderId="3" xfId="1" applyNumberFormat="1" applyFont="1" applyFill="1" applyBorder="1" applyProtection="1">
      <protection locked="0"/>
    </xf>
    <xf numFmtId="37" fontId="18" fillId="0" borderId="1" xfId="1" applyNumberFormat="1" applyFont="1" applyFill="1" applyBorder="1" applyProtection="1">
      <protection locked="0"/>
    </xf>
    <xf numFmtId="37" fontId="18" fillId="0" borderId="0" xfId="1" applyNumberFormat="1" applyFont="1" applyFill="1" applyBorder="1" applyProtection="1">
      <protection locked="0"/>
    </xf>
    <xf numFmtId="37" fontId="18" fillId="0" borderId="16" xfId="1" applyNumberFormat="1" applyFont="1" applyFill="1" applyBorder="1" applyProtection="1">
      <protection locked="0"/>
    </xf>
    <xf numFmtId="37" fontId="18" fillId="0" borderId="3" xfId="1" applyNumberFormat="1" applyFont="1" applyFill="1" applyBorder="1" applyProtection="1">
      <protection locked="0"/>
    </xf>
    <xf numFmtId="38" fontId="15" fillId="0" borderId="0" xfId="1" applyNumberFormat="1" applyFont="1" applyAlignment="1">
      <alignment horizontal="center" vertical="center"/>
    </xf>
    <xf numFmtId="38" fontId="15" fillId="0" borderId="0" xfId="1" applyNumberFormat="1" applyFont="1" applyBorder="1" applyAlignment="1">
      <alignment horizontal="center" vertical="center"/>
    </xf>
    <xf numFmtId="38" fontId="15" fillId="5" borderId="18" xfId="1" applyNumberFormat="1" applyFont="1" applyFill="1" applyBorder="1" applyAlignment="1">
      <alignment horizontal="center" vertical="center" wrapText="1"/>
    </xf>
    <xf numFmtId="38" fontId="15" fillId="3" borderId="18" xfId="1" applyNumberFormat="1" applyFont="1" applyFill="1" applyBorder="1" applyAlignment="1">
      <alignment horizontal="center" vertical="center"/>
    </xf>
    <xf numFmtId="38" fontId="15" fillId="5" borderId="19" xfId="1" applyNumberFormat="1" applyFont="1" applyFill="1" applyBorder="1" applyAlignment="1">
      <alignment horizontal="center" vertical="center" wrapText="1"/>
    </xf>
    <xf numFmtId="38" fontId="15" fillId="5" borderId="0" xfId="1" applyNumberFormat="1" applyFont="1" applyFill="1" applyBorder="1" applyAlignment="1">
      <alignment horizontal="center" vertical="center"/>
    </xf>
    <xf numFmtId="38" fontId="15" fillId="3" borderId="0" xfId="1" applyNumberFormat="1" applyFont="1" applyFill="1" applyBorder="1" applyAlignment="1">
      <alignment horizontal="center" vertical="center"/>
    </xf>
    <xf numFmtId="38" fontId="15" fillId="5" borderId="8" xfId="1" applyNumberFormat="1" applyFont="1" applyFill="1" applyBorder="1" applyAlignment="1">
      <alignment horizontal="center" vertical="center"/>
    </xf>
    <xf numFmtId="38" fontId="18" fillId="3" borderId="0" xfId="1" applyNumberFormat="1" applyFont="1" applyFill="1" applyBorder="1" applyAlignment="1" applyProtection="1">
      <alignment horizontal="center" vertical="center"/>
      <protection locked="0"/>
    </xf>
    <xf numFmtId="38" fontId="15" fillId="5" borderId="3" xfId="1" applyNumberFormat="1" applyFont="1" applyFill="1" applyBorder="1" applyAlignment="1">
      <alignment horizontal="center" vertical="center"/>
    </xf>
    <xf numFmtId="38" fontId="15" fillId="3" borderId="3" xfId="1" applyNumberFormat="1" applyFont="1" applyFill="1" applyBorder="1" applyAlignment="1">
      <alignment horizontal="center" vertical="center"/>
    </xf>
    <xf numFmtId="38" fontId="15" fillId="5" borderId="12" xfId="1" applyNumberFormat="1" applyFont="1" applyFill="1" applyBorder="1" applyAlignment="1">
      <alignment horizontal="center" vertical="center"/>
    </xf>
    <xf numFmtId="38" fontId="15" fillId="5" borderId="2" xfId="1" applyNumberFormat="1" applyFont="1" applyFill="1" applyBorder="1" applyAlignment="1">
      <alignment horizontal="center" vertical="center"/>
    </xf>
    <xf numFmtId="38" fontId="15" fillId="3" borderId="2" xfId="1" applyNumberFormat="1" applyFont="1" applyFill="1" applyBorder="1" applyAlignment="1" applyProtection="1">
      <alignment horizontal="center" vertical="center"/>
      <protection locked="0"/>
    </xf>
    <xf numFmtId="38" fontId="15" fillId="5" borderId="10" xfId="1" applyNumberFormat="1" applyFont="1" applyFill="1" applyBorder="1" applyAlignment="1">
      <alignment horizontal="center" vertical="center"/>
    </xf>
    <xf numFmtId="0" fontId="15" fillId="0" borderId="0" xfId="3" applyFont="1"/>
    <xf numFmtId="38" fontId="15" fillId="0" borderId="0" xfId="3" applyNumberFormat="1" applyFont="1"/>
    <xf numFmtId="0" fontId="15" fillId="0" borderId="0" xfId="3" applyFont="1" applyAlignment="1">
      <alignment horizontal="center"/>
    </xf>
    <xf numFmtId="0" fontId="15" fillId="0" borderId="0" xfId="3" applyFont="1" applyAlignment="1">
      <alignment horizontal="left"/>
    </xf>
    <xf numFmtId="0" fontId="15" fillId="0" borderId="9" xfId="3" applyFont="1" applyBorder="1" applyAlignment="1">
      <alignment horizontal="left"/>
    </xf>
    <xf numFmtId="0" fontId="18" fillId="0" borderId="7" xfId="3" applyNumberFormat="1" applyFont="1" applyBorder="1" applyAlignment="1" applyProtection="1">
      <alignment horizontal="left"/>
      <protection locked="0"/>
    </xf>
    <xf numFmtId="0" fontId="18" fillId="0" borderId="11" xfId="3" applyNumberFormat="1" applyFont="1" applyBorder="1" applyAlignment="1" applyProtection="1">
      <alignment horizontal="left"/>
      <protection locked="0"/>
    </xf>
    <xf numFmtId="0" fontId="15" fillId="0" borderId="18" xfId="3" applyFont="1" applyBorder="1" applyAlignment="1">
      <alignment horizontal="center"/>
    </xf>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164" fontId="15" fillId="0" borderId="15" xfId="1" applyNumberFormat="1" applyFont="1" applyBorder="1" applyProtection="1">
      <protection locked="0"/>
    </xf>
    <xf numFmtId="164" fontId="15" fillId="0" borderId="2" xfId="1" applyNumberFormat="1" applyFont="1" applyBorder="1" applyProtection="1">
      <protection locked="0"/>
    </xf>
    <xf numFmtId="164" fontId="15" fillId="3" borderId="2" xfId="1" applyNumberFormat="1" applyFont="1" applyFill="1" applyBorder="1" applyProtection="1">
      <protection locked="0"/>
    </xf>
    <xf numFmtId="164" fontId="15" fillId="0" borderId="1" xfId="1" applyNumberFormat="1" applyFont="1" applyBorder="1"/>
    <xf numFmtId="164" fontId="15" fillId="3" borderId="0" xfId="1" applyNumberFormat="1" applyFont="1" applyFill="1" applyBorder="1"/>
    <xf numFmtId="164" fontId="15" fillId="0" borderId="0" xfId="1" applyNumberFormat="1" applyFont="1" applyBorder="1"/>
    <xf numFmtId="164" fontId="18" fillId="0" borderId="1" xfId="1" applyNumberFormat="1" applyFont="1" applyBorder="1" applyProtection="1">
      <protection locked="0"/>
    </xf>
    <xf numFmtId="164" fontId="18" fillId="3" borderId="0" xfId="1" applyNumberFormat="1" applyFont="1" applyFill="1" applyBorder="1" applyProtection="1">
      <protection locked="0"/>
    </xf>
    <xf numFmtId="164" fontId="18" fillId="0" borderId="0" xfId="1" applyNumberFormat="1" applyFont="1" applyBorder="1" applyProtection="1">
      <protection locked="0"/>
    </xf>
    <xf numFmtId="164" fontId="18" fillId="3" borderId="3" xfId="1" applyNumberFormat="1" applyFont="1" applyFill="1" applyBorder="1" applyProtection="1">
      <protection locked="0"/>
    </xf>
    <xf numFmtId="37" fontId="18" fillId="0" borderId="1" xfId="1" applyNumberFormat="1" applyFont="1" applyBorder="1" applyProtection="1">
      <protection locked="0"/>
    </xf>
    <xf numFmtId="37" fontId="18" fillId="3" borderId="0" xfId="1" applyNumberFormat="1" applyFont="1" applyFill="1" applyBorder="1" applyProtection="1">
      <protection locked="0"/>
    </xf>
    <xf numFmtId="37" fontId="18" fillId="0" borderId="0" xfId="1" applyNumberFormat="1" applyFont="1" applyBorder="1" applyProtection="1">
      <protection locked="0"/>
    </xf>
    <xf numFmtId="37" fontId="18" fillId="3" borderId="3" xfId="1" applyNumberFormat="1" applyFont="1" applyFill="1" applyBorder="1" applyProtection="1">
      <protection locked="0"/>
    </xf>
    <xf numFmtId="37" fontId="18" fillId="0" borderId="16" xfId="1" applyNumberFormat="1" applyFont="1" applyBorder="1" applyProtection="1">
      <protection locked="0"/>
    </xf>
    <xf numFmtId="37" fontId="18" fillId="0" borderId="3" xfId="1" applyNumberFormat="1" applyFont="1" applyBorder="1" applyProtection="1">
      <protection locked="0"/>
    </xf>
    <xf numFmtId="0" fontId="15" fillId="0" borderId="0" xfId="3" applyFont="1"/>
    <xf numFmtId="38" fontId="15" fillId="0" borderId="0" xfId="3" applyNumberFormat="1" applyFont="1"/>
    <xf numFmtId="0" fontId="15" fillId="0" borderId="0" xfId="3" applyFont="1" applyAlignment="1">
      <alignment horizontal="center"/>
    </xf>
    <xf numFmtId="0" fontId="15" fillId="0" borderId="0" xfId="3" applyFont="1" applyAlignment="1">
      <alignment horizontal="left"/>
    </xf>
    <xf numFmtId="0" fontId="15" fillId="0" borderId="9" xfId="3" applyFont="1" applyBorder="1" applyAlignment="1">
      <alignment horizontal="left"/>
    </xf>
    <xf numFmtId="0" fontId="18" fillId="0" borderId="7" xfId="3" applyNumberFormat="1" applyFont="1" applyBorder="1" applyAlignment="1" applyProtection="1">
      <alignment horizontal="left"/>
      <protection locked="0"/>
    </xf>
    <xf numFmtId="0" fontId="18" fillId="0" borderId="11" xfId="3" applyNumberFormat="1" applyFont="1" applyBorder="1" applyAlignment="1" applyProtection="1">
      <alignment horizontal="left"/>
      <protection locked="0"/>
    </xf>
    <xf numFmtId="0" fontId="15" fillId="0" borderId="18" xfId="3" applyFont="1" applyBorder="1" applyAlignment="1">
      <alignment horizontal="center"/>
    </xf>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164" fontId="15" fillId="0" borderId="15" xfId="1" applyNumberFormat="1" applyFont="1" applyBorder="1" applyProtection="1">
      <protection locked="0"/>
    </xf>
    <xf numFmtId="164" fontId="15" fillId="0" borderId="2" xfId="1" applyNumberFormat="1" applyFont="1" applyBorder="1" applyProtection="1">
      <protection locked="0"/>
    </xf>
    <xf numFmtId="164" fontId="15" fillId="3" borderId="2" xfId="1" applyNumberFormat="1" applyFont="1" applyFill="1" applyBorder="1" applyProtection="1">
      <protection locked="0"/>
    </xf>
    <xf numFmtId="164" fontId="15" fillId="0" borderId="1" xfId="1" applyNumberFormat="1" applyFont="1" applyBorder="1"/>
    <xf numFmtId="164" fontId="15" fillId="3" borderId="0" xfId="1" applyNumberFormat="1" applyFont="1" applyFill="1" applyBorder="1"/>
    <xf numFmtId="164" fontId="15" fillId="0" borderId="0" xfId="1" applyNumberFormat="1" applyFont="1" applyBorder="1"/>
    <xf numFmtId="164" fontId="18" fillId="0" borderId="1" xfId="1" applyNumberFormat="1" applyFont="1" applyBorder="1" applyProtection="1">
      <protection locked="0"/>
    </xf>
    <xf numFmtId="164" fontId="18" fillId="3" borderId="0" xfId="1" applyNumberFormat="1" applyFont="1" applyFill="1" applyBorder="1" applyProtection="1">
      <protection locked="0"/>
    </xf>
    <xf numFmtId="164" fontId="18" fillId="0" borderId="0" xfId="1" applyNumberFormat="1" applyFont="1" applyBorder="1" applyProtection="1">
      <protection locked="0"/>
    </xf>
    <xf numFmtId="164" fontId="18" fillId="3" borderId="3" xfId="1" applyNumberFormat="1" applyFont="1" applyFill="1" applyBorder="1" applyProtection="1">
      <protection locked="0"/>
    </xf>
    <xf numFmtId="37" fontId="18" fillId="0" borderId="1" xfId="1" applyNumberFormat="1" applyFont="1" applyBorder="1" applyProtection="1">
      <protection locked="0"/>
    </xf>
    <xf numFmtId="37" fontId="18" fillId="3" borderId="0" xfId="1" applyNumberFormat="1" applyFont="1" applyFill="1" applyBorder="1" applyProtection="1">
      <protection locked="0"/>
    </xf>
    <xf numFmtId="37" fontId="18" fillId="0" borderId="0" xfId="1" applyNumberFormat="1" applyFont="1" applyBorder="1" applyProtection="1">
      <protection locked="0"/>
    </xf>
    <xf numFmtId="37" fontId="18" fillId="3" borderId="3" xfId="1" applyNumberFormat="1" applyFont="1" applyFill="1" applyBorder="1" applyProtection="1">
      <protection locked="0"/>
    </xf>
    <xf numFmtId="37" fontId="18" fillId="0" borderId="16" xfId="1" applyNumberFormat="1" applyFont="1" applyBorder="1" applyProtection="1">
      <protection locked="0"/>
    </xf>
    <xf numFmtId="37" fontId="18" fillId="0" borderId="3" xfId="1" applyNumberFormat="1" applyFont="1" applyBorder="1" applyProtection="1">
      <protection locked="0"/>
    </xf>
    <xf numFmtId="0" fontId="15" fillId="0" borderId="0" xfId="3" applyFont="1"/>
    <xf numFmtId="38" fontId="15" fillId="0" borderId="0" xfId="3" applyNumberFormat="1" applyFont="1"/>
    <xf numFmtId="0" fontId="15" fillId="0" borderId="0" xfId="3" applyFont="1" applyAlignment="1">
      <alignment horizontal="center"/>
    </xf>
    <xf numFmtId="0" fontId="15" fillId="0" borderId="0" xfId="3" applyFont="1" applyAlignment="1">
      <alignment horizontal="left"/>
    </xf>
    <xf numFmtId="0" fontId="15" fillId="0" borderId="9" xfId="3" applyFont="1" applyBorder="1" applyAlignment="1">
      <alignment horizontal="left"/>
    </xf>
    <xf numFmtId="0" fontId="18" fillId="0" borderId="7" xfId="3" applyNumberFormat="1" applyFont="1" applyBorder="1" applyAlignment="1" applyProtection="1">
      <alignment horizontal="left"/>
      <protection locked="0"/>
    </xf>
    <xf numFmtId="0" fontId="18" fillId="0" borderId="11" xfId="3" applyNumberFormat="1" applyFont="1" applyBorder="1" applyAlignment="1" applyProtection="1">
      <alignment horizontal="left"/>
      <protection locked="0"/>
    </xf>
    <xf numFmtId="0" fontId="15" fillId="0" borderId="18" xfId="3" applyFont="1" applyBorder="1" applyAlignment="1">
      <alignment horizontal="center"/>
    </xf>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164" fontId="15" fillId="0" borderId="15" xfId="1" applyNumberFormat="1" applyFont="1" applyBorder="1" applyProtection="1">
      <protection locked="0"/>
    </xf>
    <xf numFmtId="164" fontId="15" fillId="0" borderId="2" xfId="1" applyNumberFormat="1" applyFont="1" applyBorder="1" applyProtection="1">
      <protection locked="0"/>
    </xf>
    <xf numFmtId="164" fontId="15" fillId="3" borderId="2" xfId="1" applyNumberFormat="1" applyFont="1" applyFill="1" applyBorder="1" applyProtection="1">
      <protection locked="0"/>
    </xf>
    <xf numFmtId="164" fontId="15" fillId="0" borderId="1" xfId="1" applyNumberFormat="1" applyFont="1" applyBorder="1"/>
    <xf numFmtId="164" fontId="15" fillId="3" borderId="0" xfId="1" applyNumberFormat="1" applyFont="1" applyFill="1" applyBorder="1"/>
    <xf numFmtId="164" fontId="15" fillId="0" borderId="0" xfId="1" applyNumberFormat="1" applyFont="1" applyBorder="1"/>
    <xf numFmtId="164" fontId="18" fillId="0" borderId="1" xfId="1" applyNumberFormat="1" applyFont="1" applyBorder="1" applyProtection="1">
      <protection locked="0"/>
    </xf>
    <xf numFmtId="164" fontId="18" fillId="3" borderId="0" xfId="1" applyNumberFormat="1" applyFont="1" applyFill="1" applyBorder="1" applyProtection="1">
      <protection locked="0"/>
    </xf>
    <xf numFmtId="164" fontId="18" fillId="0" borderId="0" xfId="1" applyNumberFormat="1" applyFont="1" applyBorder="1" applyProtection="1">
      <protection locked="0"/>
    </xf>
    <xf numFmtId="164" fontId="18" fillId="3" borderId="3" xfId="1" applyNumberFormat="1" applyFont="1" applyFill="1" applyBorder="1" applyProtection="1">
      <protection locked="0"/>
    </xf>
    <xf numFmtId="37" fontId="18" fillId="0" borderId="1" xfId="1" applyNumberFormat="1" applyFont="1" applyBorder="1" applyProtection="1">
      <protection locked="0"/>
    </xf>
    <xf numFmtId="37" fontId="18" fillId="3" borderId="0" xfId="1" applyNumberFormat="1" applyFont="1" applyFill="1" applyBorder="1" applyProtection="1">
      <protection locked="0"/>
    </xf>
    <xf numFmtId="37" fontId="18" fillId="0" borderId="0" xfId="1" applyNumberFormat="1" applyFont="1" applyBorder="1" applyProtection="1">
      <protection locked="0"/>
    </xf>
    <xf numFmtId="37" fontId="18" fillId="3" borderId="3" xfId="1" applyNumberFormat="1" applyFont="1" applyFill="1" applyBorder="1" applyProtection="1">
      <protection locked="0"/>
    </xf>
    <xf numFmtId="37" fontId="18" fillId="0" borderId="16" xfId="1" applyNumberFormat="1" applyFont="1" applyBorder="1" applyProtection="1">
      <protection locked="0"/>
    </xf>
    <xf numFmtId="37" fontId="18" fillId="0" borderId="3" xfId="1" applyNumberFormat="1" applyFont="1" applyBorder="1" applyProtection="1">
      <protection locked="0"/>
    </xf>
    <xf numFmtId="0" fontId="15" fillId="0" borderId="0" xfId="3" applyFont="1"/>
    <xf numFmtId="38" fontId="15" fillId="0" borderId="0" xfId="3" applyNumberFormat="1" applyFont="1"/>
    <xf numFmtId="0" fontId="15" fillId="0" borderId="0" xfId="3" applyFont="1" applyAlignment="1">
      <alignment horizontal="center"/>
    </xf>
    <xf numFmtId="0" fontId="15" fillId="0" borderId="0" xfId="3" applyFont="1" applyAlignment="1">
      <alignment horizontal="left"/>
    </xf>
    <xf numFmtId="0" fontId="15" fillId="0" borderId="9" xfId="3" applyFont="1" applyBorder="1" applyAlignment="1">
      <alignment horizontal="left"/>
    </xf>
    <xf numFmtId="0" fontId="18" fillId="0" borderId="7" xfId="3" applyNumberFormat="1" applyFont="1" applyBorder="1" applyAlignment="1" applyProtection="1">
      <alignment horizontal="left"/>
      <protection locked="0"/>
    </xf>
    <xf numFmtId="0" fontId="18" fillId="0" borderId="11" xfId="3" applyNumberFormat="1" applyFont="1" applyBorder="1" applyAlignment="1" applyProtection="1">
      <alignment horizontal="left"/>
      <protection locked="0"/>
    </xf>
    <xf numFmtId="0" fontId="15" fillId="0" borderId="18" xfId="3" applyFont="1" applyBorder="1" applyAlignment="1">
      <alignment horizontal="center"/>
    </xf>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164" fontId="15" fillId="0" borderId="15" xfId="1" applyNumberFormat="1" applyFont="1" applyBorder="1" applyProtection="1">
      <protection locked="0"/>
    </xf>
    <xf numFmtId="164" fontId="15" fillId="0" borderId="2" xfId="1" applyNumberFormat="1" applyFont="1" applyBorder="1" applyProtection="1">
      <protection locked="0"/>
    </xf>
    <xf numFmtId="164" fontId="15" fillId="3" borderId="2" xfId="1" applyNumberFormat="1" applyFont="1" applyFill="1" applyBorder="1" applyProtection="1">
      <protection locked="0"/>
    </xf>
    <xf numFmtId="164" fontId="15" fillId="0" borderId="1" xfId="1" applyNumberFormat="1" applyFont="1" applyBorder="1"/>
    <xf numFmtId="164" fontId="15" fillId="3" borderId="0" xfId="1" applyNumberFormat="1" applyFont="1" applyFill="1" applyBorder="1"/>
    <xf numFmtId="164" fontId="15" fillId="0" borderId="0" xfId="1" applyNumberFormat="1" applyFont="1" applyBorder="1"/>
    <xf numFmtId="164" fontId="18" fillId="0" borderId="1" xfId="1" applyNumberFormat="1" applyFont="1" applyBorder="1" applyProtection="1">
      <protection locked="0"/>
    </xf>
    <xf numFmtId="164" fontId="18" fillId="3" borderId="0" xfId="1" applyNumberFormat="1" applyFont="1" applyFill="1" applyBorder="1" applyProtection="1">
      <protection locked="0"/>
    </xf>
    <xf numFmtId="164" fontId="18" fillId="0" borderId="0" xfId="1" applyNumberFormat="1" applyFont="1" applyBorder="1" applyProtection="1">
      <protection locked="0"/>
    </xf>
    <xf numFmtId="164" fontId="18" fillId="3" borderId="3" xfId="1" applyNumberFormat="1" applyFont="1" applyFill="1" applyBorder="1" applyProtection="1">
      <protection locked="0"/>
    </xf>
    <xf numFmtId="37" fontId="18" fillId="0" borderId="1" xfId="1" applyNumberFormat="1" applyFont="1" applyBorder="1" applyProtection="1">
      <protection locked="0"/>
    </xf>
    <xf numFmtId="37" fontId="18" fillId="3" borderId="0" xfId="1" applyNumberFormat="1" applyFont="1" applyFill="1" applyBorder="1" applyProtection="1">
      <protection locked="0"/>
    </xf>
    <xf numFmtId="37" fontId="18" fillId="0" borderId="0" xfId="1" applyNumberFormat="1" applyFont="1" applyBorder="1" applyProtection="1">
      <protection locked="0"/>
    </xf>
    <xf numFmtId="37" fontId="18" fillId="3" borderId="3" xfId="1" applyNumberFormat="1" applyFont="1" applyFill="1" applyBorder="1" applyProtection="1">
      <protection locked="0"/>
    </xf>
    <xf numFmtId="37" fontId="18" fillId="0" borderId="16" xfId="1" applyNumberFormat="1" applyFont="1" applyBorder="1" applyProtection="1">
      <protection locked="0"/>
    </xf>
    <xf numFmtId="37" fontId="18" fillId="0" borderId="3" xfId="1" applyNumberFormat="1" applyFont="1" applyBorder="1" applyProtection="1">
      <protection locked="0"/>
    </xf>
    <xf numFmtId="0" fontId="15" fillId="0" borderId="0" xfId="3" applyFont="1"/>
    <xf numFmtId="38" fontId="15" fillId="0" borderId="0" xfId="3" applyNumberFormat="1" applyFont="1"/>
    <xf numFmtId="0" fontId="15" fillId="0" borderId="0" xfId="3" applyFont="1" applyAlignment="1">
      <alignment horizontal="center"/>
    </xf>
    <xf numFmtId="0" fontId="15" fillId="0" borderId="0" xfId="3" applyFont="1" applyAlignment="1">
      <alignment horizontal="left"/>
    </xf>
    <xf numFmtId="0" fontId="15" fillId="0" borderId="9" xfId="3" applyFont="1" applyBorder="1" applyAlignment="1">
      <alignment horizontal="left"/>
    </xf>
    <xf numFmtId="0" fontId="18" fillId="0" borderId="7" xfId="3" applyNumberFormat="1" applyFont="1" applyBorder="1" applyAlignment="1" applyProtection="1">
      <alignment horizontal="left"/>
      <protection locked="0"/>
    </xf>
    <xf numFmtId="0" fontId="18" fillId="0" borderId="11" xfId="3" applyNumberFormat="1" applyFont="1" applyBorder="1" applyAlignment="1" applyProtection="1">
      <alignment horizontal="left"/>
      <protection locked="0"/>
    </xf>
    <xf numFmtId="0" fontId="15" fillId="0" borderId="18" xfId="3" applyFont="1" applyBorder="1" applyAlignment="1">
      <alignment horizontal="center"/>
    </xf>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164" fontId="15" fillId="0" borderId="15" xfId="1" applyNumberFormat="1" applyFont="1" applyBorder="1" applyProtection="1">
      <protection locked="0"/>
    </xf>
    <xf numFmtId="164" fontId="15" fillId="0" borderId="2" xfId="1" applyNumberFormat="1" applyFont="1" applyBorder="1" applyProtection="1">
      <protection locked="0"/>
    </xf>
    <xf numFmtId="164" fontId="15" fillId="3" borderId="2" xfId="1" applyNumberFormat="1" applyFont="1" applyFill="1" applyBorder="1" applyProtection="1">
      <protection locked="0"/>
    </xf>
    <xf numFmtId="164" fontId="15" fillId="0" borderId="1" xfId="1" applyNumberFormat="1" applyFont="1" applyBorder="1"/>
    <xf numFmtId="164" fontId="15" fillId="3" borderId="0" xfId="1" applyNumberFormat="1" applyFont="1" applyFill="1" applyBorder="1"/>
    <xf numFmtId="164" fontId="15" fillId="0" borderId="0" xfId="1" applyNumberFormat="1" applyFont="1" applyBorder="1"/>
    <xf numFmtId="164" fontId="18" fillId="0" borderId="1" xfId="1" applyNumberFormat="1" applyFont="1" applyBorder="1" applyProtection="1">
      <protection locked="0"/>
    </xf>
    <xf numFmtId="164" fontId="18" fillId="3" borderId="0" xfId="1" applyNumberFormat="1" applyFont="1" applyFill="1" applyBorder="1" applyProtection="1">
      <protection locked="0"/>
    </xf>
    <xf numFmtId="164" fontId="18" fillId="0" borderId="0" xfId="1" applyNumberFormat="1" applyFont="1" applyBorder="1" applyProtection="1">
      <protection locked="0"/>
    </xf>
    <xf numFmtId="164" fontId="18" fillId="3" borderId="3" xfId="1" applyNumberFormat="1" applyFont="1" applyFill="1" applyBorder="1" applyProtection="1">
      <protection locked="0"/>
    </xf>
    <xf numFmtId="37" fontId="18" fillId="0" borderId="1" xfId="1" applyNumberFormat="1" applyFont="1" applyBorder="1" applyProtection="1">
      <protection locked="0"/>
    </xf>
    <xf numFmtId="37" fontId="18" fillId="3" borderId="0" xfId="1" applyNumberFormat="1" applyFont="1" applyFill="1" applyBorder="1" applyProtection="1">
      <protection locked="0"/>
    </xf>
    <xf numFmtId="37" fontId="18" fillId="0" borderId="0" xfId="1" applyNumberFormat="1" applyFont="1" applyBorder="1" applyProtection="1">
      <protection locked="0"/>
    </xf>
    <xf numFmtId="37" fontId="18" fillId="3" borderId="3" xfId="1" applyNumberFormat="1" applyFont="1" applyFill="1" applyBorder="1" applyProtection="1">
      <protection locked="0"/>
    </xf>
    <xf numFmtId="37" fontId="18" fillId="0" borderId="16" xfId="1" applyNumberFormat="1" applyFont="1" applyBorder="1" applyProtection="1">
      <protection locked="0"/>
    </xf>
    <xf numFmtId="37" fontId="18" fillId="0" borderId="3" xfId="1" applyNumberFormat="1" applyFont="1" applyBorder="1" applyProtection="1">
      <protection locked="0"/>
    </xf>
    <xf numFmtId="0" fontId="15" fillId="0" borderId="0" xfId="3" applyFont="1"/>
    <xf numFmtId="38" fontId="15" fillId="0" borderId="0" xfId="3" applyNumberFormat="1" applyFont="1"/>
    <xf numFmtId="0" fontId="15" fillId="0" borderId="0" xfId="3" applyFont="1" applyAlignment="1">
      <alignment horizontal="center"/>
    </xf>
    <xf numFmtId="0" fontId="15" fillId="0" borderId="0" xfId="3" applyFont="1" applyAlignment="1">
      <alignment horizontal="left"/>
    </xf>
    <xf numFmtId="0" fontId="15" fillId="0" borderId="9" xfId="3" applyFont="1" applyBorder="1" applyAlignment="1">
      <alignment horizontal="left"/>
    </xf>
    <xf numFmtId="0" fontId="18" fillId="0" borderId="7" xfId="3" applyNumberFormat="1" applyFont="1" applyBorder="1" applyAlignment="1" applyProtection="1">
      <alignment horizontal="left"/>
      <protection locked="0"/>
    </xf>
    <xf numFmtId="0" fontId="18" fillId="0" borderId="11" xfId="3" applyNumberFormat="1" applyFont="1" applyBorder="1" applyAlignment="1" applyProtection="1">
      <alignment horizontal="left"/>
      <protection locked="0"/>
    </xf>
    <xf numFmtId="0" fontId="15" fillId="0" borderId="18" xfId="3" applyFont="1" applyBorder="1" applyAlignment="1">
      <alignment horizontal="center"/>
    </xf>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164" fontId="15" fillId="0" borderId="15" xfId="1" applyNumberFormat="1" applyFont="1" applyBorder="1" applyProtection="1">
      <protection locked="0"/>
    </xf>
    <xf numFmtId="164" fontId="15" fillId="0" borderId="2" xfId="1" applyNumberFormat="1" applyFont="1" applyBorder="1" applyProtection="1">
      <protection locked="0"/>
    </xf>
    <xf numFmtId="164" fontId="15" fillId="3" borderId="2" xfId="1" applyNumberFormat="1" applyFont="1" applyFill="1" applyBorder="1" applyProtection="1">
      <protection locked="0"/>
    </xf>
    <xf numFmtId="164" fontId="15" fillId="0" borderId="1" xfId="1" applyNumberFormat="1" applyFont="1" applyBorder="1"/>
    <xf numFmtId="164" fontId="15" fillId="3" borderId="0" xfId="1" applyNumberFormat="1" applyFont="1" applyFill="1" applyBorder="1"/>
    <xf numFmtId="164" fontId="15" fillId="0" borderId="0" xfId="1" applyNumberFormat="1" applyFont="1" applyBorder="1"/>
    <xf numFmtId="164" fontId="18" fillId="0" borderId="1" xfId="1" applyNumberFormat="1" applyFont="1" applyBorder="1" applyProtection="1">
      <protection locked="0"/>
    </xf>
    <xf numFmtId="164" fontId="18" fillId="3" borderId="0" xfId="1" applyNumberFormat="1" applyFont="1" applyFill="1" applyBorder="1" applyProtection="1">
      <protection locked="0"/>
    </xf>
    <xf numFmtId="164" fontId="18" fillId="0" borderId="0" xfId="1" applyNumberFormat="1" applyFont="1" applyBorder="1" applyProtection="1">
      <protection locked="0"/>
    </xf>
    <xf numFmtId="164" fontId="18" fillId="3" borderId="3" xfId="1" applyNumberFormat="1" applyFont="1" applyFill="1" applyBorder="1" applyProtection="1">
      <protection locked="0"/>
    </xf>
    <xf numFmtId="37" fontId="18" fillId="3" borderId="0" xfId="1" applyNumberFormat="1" applyFont="1" applyFill="1" applyBorder="1" applyProtection="1">
      <protection locked="0"/>
    </xf>
    <xf numFmtId="37" fontId="18" fillId="3" borderId="3" xfId="1" applyNumberFormat="1" applyFont="1" applyFill="1" applyBorder="1" applyProtection="1">
      <protection locked="0"/>
    </xf>
    <xf numFmtId="37" fontId="18" fillId="0" borderId="1" xfId="1" applyNumberFormat="1" applyFont="1" applyFill="1" applyBorder="1" applyProtection="1">
      <protection locked="0"/>
    </xf>
    <xf numFmtId="37" fontId="18" fillId="0" borderId="0" xfId="1" applyNumberFormat="1" applyFont="1" applyFill="1" applyBorder="1" applyProtection="1">
      <protection locked="0"/>
    </xf>
    <xf numFmtId="37" fontId="18" fillId="0" borderId="16" xfId="1" applyNumberFormat="1" applyFont="1" applyFill="1" applyBorder="1" applyProtection="1">
      <protection locked="0"/>
    </xf>
    <xf numFmtId="37" fontId="18" fillId="0" borderId="3" xfId="1" applyNumberFormat="1" applyFont="1" applyFill="1" applyBorder="1" applyProtection="1">
      <protection locked="0"/>
    </xf>
    <xf numFmtId="0" fontId="15" fillId="0" borderId="0" xfId="3" applyFont="1"/>
    <xf numFmtId="38" fontId="15" fillId="0" borderId="0" xfId="3" applyNumberFormat="1" applyFont="1"/>
    <xf numFmtId="0" fontId="15" fillId="0" borderId="0" xfId="3" applyFont="1" applyAlignment="1">
      <alignment horizontal="center"/>
    </xf>
    <xf numFmtId="0" fontId="15" fillId="0" borderId="0" xfId="3" applyFont="1" applyAlignment="1">
      <alignment horizontal="left"/>
    </xf>
    <xf numFmtId="0" fontId="15" fillId="0" borderId="9" xfId="3" applyFont="1" applyBorder="1" applyAlignment="1">
      <alignment horizontal="left"/>
    </xf>
    <xf numFmtId="0" fontId="18" fillId="0" borderId="7" xfId="3" applyNumberFormat="1" applyFont="1" applyBorder="1" applyAlignment="1" applyProtection="1">
      <alignment horizontal="left"/>
      <protection locked="0"/>
    </xf>
    <xf numFmtId="0" fontId="18" fillId="0" borderId="11" xfId="3" applyNumberFormat="1" applyFont="1" applyBorder="1" applyAlignment="1" applyProtection="1">
      <alignment horizontal="left"/>
      <protection locked="0"/>
    </xf>
    <xf numFmtId="0" fontId="15" fillId="0" borderId="18" xfId="3" applyFont="1" applyBorder="1" applyAlignment="1">
      <alignment horizontal="center"/>
    </xf>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164" fontId="15" fillId="0" borderId="15" xfId="1" applyNumberFormat="1" applyFont="1" applyBorder="1" applyProtection="1">
      <protection locked="0"/>
    </xf>
    <xf numFmtId="164" fontId="15" fillId="0" borderId="2" xfId="1" applyNumberFormat="1" applyFont="1" applyBorder="1" applyProtection="1">
      <protection locked="0"/>
    </xf>
    <xf numFmtId="164" fontId="15" fillId="3" borderId="2" xfId="1" applyNumberFormat="1" applyFont="1" applyFill="1" applyBorder="1" applyProtection="1">
      <protection locked="0"/>
    </xf>
    <xf numFmtId="164" fontId="15" fillId="0" borderId="1" xfId="1" applyNumberFormat="1" applyFont="1" applyBorder="1"/>
    <xf numFmtId="164" fontId="15" fillId="3" borderId="0" xfId="1" applyNumberFormat="1" applyFont="1" applyFill="1" applyBorder="1"/>
    <xf numFmtId="164" fontId="15" fillId="0" borderId="0" xfId="1" applyNumberFormat="1" applyFont="1" applyBorder="1"/>
    <xf numFmtId="164" fontId="18" fillId="0" borderId="1" xfId="1" applyNumberFormat="1" applyFont="1" applyBorder="1" applyProtection="1">
      <protection locked="0"/>
    </xf>
    <xf numFmtId="164" fontId="18" fillId="3" borderId="0" xfId="1" applyNumberFormat="1" applyFont="1" applyFill="1" applyBorder="1" applyProtection="1">
      <protection locked="0"/>
    </xf>
    <xf numFmtId="164" fontId="18" fillId="0" borderId="0" xfId="1" applyNumberFormat="1" applyFont="1" applyBorder="1" applyProtection="1">
      <protection locked="0"/>
    </xf>
    <xf numFmtId="164" fontId="18" fillId="0" borderId="16" xfId="1" applyNumberFormat="1" applyFont="1" applyBorder="1" applyProtection="1">
      <protection locked="0"/>
    </xf>
    <xf numFmtId="164" fontId="18" fillId="3" borderId="3" xfId="1" applyNumberFormat="1" applyFont="1" applyFill="1" applyBorder="1" applyProtection="1">
      <protection locked="0"/>
    </xf>
    <xf numFmtId="164" fontId="18" fillId="0" borderId="3" xfId="1" applyNumberFormat="1" applyFont="1" applyBorder="1" applyProtection="1">
      <protection locked="0"/>
    </xf>
    <xf numFmtId="164" fontId="15" fillId="0" borderId="1" xfId="1" applyNumberFormat="1" applyFont="1" applyBorder="1" applyAlignment="1">
      <alignment horizontal="center"/>
    </xf>
    <xf numFmtId="38" fontId="15" fillId="5" borderId="0" xfId="3" applyNumberFormat="1" applyFont="1" applyFill="1" applyBorder="1" applyAlignment="1">
      <alignment horizontal="center" vertical="center"/>
    </xf>
    <xf numFmtId="1" fontId="15" fillId="0" borderId="0" xfId="3" applyNumberFormat="1" applyFont="1" applyBorder="1" applyAlignment="1" applyProtection="1">
      <alignment horizontal="center"/>
      <protection locked="0"/>
    </xf>
    <xf numFmtId="38" fontId="15" fillId="3" borderId="18" xfId="3" applyNumberFormat="1" applyFont="1" applyFill="1" applyBorder="1" applyAlignment="1">
      <alignment horizontal="center" vertical="center"/>
    </xf>
    <xf numFmtId="165" fontId="15" fillId="3" borderId="0" xfId="2" applyNumberFormat="1" applyFont="1" applyFill="1" applyBorder="1" applyAlignment="1">
      <alignment horizontal="center"/>
    </xf>
    <xf numFmtId="38" fontId="15" fillId="5" borderId="6" xfId="1" applyNumberFormat="1" applyFont="1" applyFill="1" applyBorder="1" applyAlignment="1">
      <alignment horizontal="center" vertical="center"/>
    </xf>
    <xf numFmtId="38" fontId="15" fillId="3" borderId="0" xfId="2" applyNumberFormat="1" applyFont="1" applyFill="1" applyBorder="1" applyAlignment="1">
      <alignment horizontal="center" vertical="center"/>
    </xf>
    <xf numFmtId="38" fontId="15" fillId="0" borderId="0" xfId="3" applyNumberFormat="1" applyFont="1" applyAlignment="1">
      <alignment horizontal="center" vertical="center"/>
    </xf>
    <xf numFmtId="38" fontId="15" fillId="0" borderId="0" xfId="3" applyNumberFormat="1" applyFont="1" applyBorder="1" applyAlignment="1">
      <alignment horizontal="center" vertical="center"/>
    </xf>
    <xf numFmtId="38" fontId="15" fillId="5" borderId="8" xfId="3" applyNumberFormat="1" applyFont="1" applyFill="1" applyBorder="1" applyAlignment="1">
      <alignment horizontal="center" vertical="center"/>
    </xf>
    <xf numFmtId="38" fontId="15" fillId="5" borderId="18" xfId="3" applyNumberFormat="1" applyFont="1" applyFill="1" applyBorder="1" applyAlignment="1">
      <alignment horizontal="center" vertical="center" wrapText="1"/>
    </xf>
    <xf numFmtId="38" fontId="15" fillId="5" borderId="19" xfId="3" applyNumberFormat="1" applyFont="1" applyFill="1" applyBorder="1" applyAlignment="1">
      <alignment horizontal="center" vertical="center" wrapText="1"/>
    </xf>
    <xf numFmtId="38" fontId="15" fillId="0" borderId="0" xfId="3" applyNumberFormat="1" applyFont="1" applyAlignment="1" applyProtection="1">
      <alignment horizontal="center"/>
      <protection locked="0"/>
    </xf>
    <xf numFmtId="38" fontId="15" fillId="5" borderId="5" xfId="1" applyNumberFormat="1" applyFont="1" applyFill="1" applyBorder="1" applyAlignment="1">
      <alignment horizontal="center" vertical="center"/>
    </xf>
    <xf numFmtId="38" fontId="18" fillId="3" borderId="0" xfId="2" applyNumberFormat="1" applyFont="1" applyFill="1" applyBorder="1" applyAlignment="1" applyProtection="1">
      <alignment horizontal="center" vertical="center"/>
      <protection locked="0"/>
    </xf>
    <xf numFmtId="38" fontId="15" fillId="3" borderId="5" xfId="1" applyNumberFormat="1" applyFont="1" applyFill="1" applyBorder="1" applyAlignment="1">
      <alignment horizontal="center" vertical="center"/>
    </xf>
    <xf numFmtId="0" fontId="15" fillId="0" borderId="0" xfId="3" applyFont="1"/>
    <xf numFmtId="38" fontId="15" fillId="0" borderId="0" xfId="3" applyNumberFormat="1" applyFont="1"/>
    <xf numFmtId="0" fontId="15" fillId="0" borderId="0" xfId="3" applyFont="1" applyAlignment="1">
      <alignment horizontal="center"/>
    </xf>
    <xf numFmtId="0" fontId="15" fillId="0" borderId="0" xfId="3" applyFont="1" applyAlignment="1">
      <alignment horizontal="left"/>
    </xf>
    <xf numFmtId="0" fontId="15" fillId="0" borderId="9" xfId="3" applyFont="1" applyBorder="1" applyAlignment="1">
      <alignment horizontal="left"/>
    </xf>
    <xf numFmtId="0" fontId="18" fillId="0" borderId="7" xfId="3" applyNumberFormat="1" applyFont="1" applyBorder="1" applyAlignment="1" applyProtection="1">
      <alignment horizontal="left"/>
      <protection locked="0"/>
    </xf>
    <xf numFmtId="0" fontId="18" fillId="0" borderId="11" xfId="3" applyNumberFormat="1" applyFont="1" applyBorder="1" applyAlignment="1" applyProtection="1">
      <alignment horizontal="left"/>
      <protection locked="0"/>
    </xf>
    <xf numFmtId="0" fontId="15" fillId="0" borderId="18" xfId="3" applyFont="1" applyBorder="1" applyAlignment="1">
      <alignment horizontal="center"/>
    </xf>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164" fontId="15" fillId="0" borderId="15" xfId="1" applyNumberFormat="1" applyFont="1" applyBorder="1" applyProtection="1">
      <protection locked="0"/>
    </xf>
    <xf numFmtId="164" fontId="15" fillId="0" borderId="2" xfId="1" applyNumberFormat="1" applyFont="1" applyBorder="1" applyProtection="1">
      <protection locked="0"/>
    </xf>
    <xf numFmtId="164" fontId="15" fillId="3" borderId="2" xfId="1" applyNumberFormat="1" applyFont="1" applyFill="1" applyBorder="1" applyProtection="1">
      <protection locked="0"/>
    </xf>
    <xf numFmtId="164" fontId="15" fillId="0" borderId="1" xfId="1" applyNumberFormat="1" applyFont="1" applyBorder="1"/>
    <xf numFmtId="164" fontId="15" fillId="3" borderId="0" xfId="1" applyNumberFormat="1" applyFont="1" applyFill="1" applyBorder="1"/>
    <xf numFmtId="164" fontId="15" fillId="0" borderId="0" xfId="1" applyNumberFormat="1" applyFont="1" applyBorder="1"/>
    <xf numFmtId="164" fontId="18" fillId="0" borderId="1" xfId="1" applyNumberFormat="1" applyFont="1" applyBorder="1" applyProtection="1">
      <protection locked="0"/>
    </xf>
    <xf numFmtId="164" fontId="18" fillId="3" borderId="0" xfId="1" applyNumberFormat="1" applyFont="1" applyFill="1" applyBorder="1" applyProtection="1">
      <protection locked="0"/>
    </xf>
    <xf numFmtId="164" fontId="18" fillId="0" borderId="0" xfId="1" applyNumberFormat="1" applyFont="1" applyBorder="1" applyProtection="1">
      <protection locked="0"/>
    </xf>
    <xf numFmtId="164" fontId="18" fillId="0" borderId="16" xfId="1" applyNumberFormat="1" applyFont="1" applyBorder="1" applyProtection="1">
      <protection locked="0"/>
    </xf>
    <xf numFmtId="164" fontId="18" fillId="3" borderId="3" xfId="1" applyNumberFormat="1" applyFont="1" applyFill="1" applyBorder="1" applyProtection="1">
      <protection locked="0"/>
    </xf>
    <xf numFmtId="164" fontId="18" fillId="0" borderId="3" xfId="1" applyNumberFormat="1" applyFont="1" applyBorder="1" applyProtection="1">
      <protection locked="0"/>
    </xf>
    <xf numFmtId="0" fontId="15" fillId="0" borderId="0" xfId="3" applyFont="1"/>
    <xf numFmtId="38" fontId="15" fillId="0" borderId="0" xfId="3" applyNumberFormat="1" applyFont="1"/>
    <xf numFmtId="0" fontId="15" fillId="0" borderId="0" xfId="3" applyFont="1" applyAlignment="1">
      <alignment horizontal="center"/>
    </xf>
    <xf numFmtId="0" fontId="15" fillId="0" borderId="0" xfId="3" applyFont="1" applyAlignment="1">
      <alignment horizontal="left"/>
    </xf>
    <xf numFmtId="0" fontId="15" fillId="0" borderId="9" xfId="3" applyFont="1" applyBorder="1" applyAlignment="1">
      <alignment horizontal="left"/>
    </xf>
    <xf numFmtId="0" fontId="18" fillId="0" borderId="7" xfId="3" applyNumberFormat="1" applyFont="1" applyBorder="1" applyAlignment="1" applyProtection="1">
      <alignment horizontal="left"/>
      <protection locked="0"/>
    </xf>
    <xf numFmtId="0" fontId="18" fillId="0" borderId="11" xfId="3" applyNumberFormat="1" applyFont="1" applyBorder="1" applyAlignment="1" applyProtection="1">
      <alignment horizontal="left"/>
      <protection locked="0"/>
    </xf>
    <xf numFmtId="0" fontId="15" fillId="0" borderId="18" xfId="3" applyFont="1" applyBorder="1" applyAlignment="1">
      <alignment horizontal="center"/>
    </xf>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164" fontId="15" fillId="0" borderId="15" xfId="1" applyNumberFormat="1" applyFont="1" applyBorder="1" applyProtection="1">
      <protection locked="0"/>
    </xf>
    <xf numFmtId="164" fontId="15" fillId="0" borderId="2" xfId="1" applyNumberFormat="1" applyFont="1" applyBorder="1" applyProtection="1">
      <protection locked="0"/>
    </xf>
    <xf numFmtId="164" fontId="15" fillId="3" borderId="2" xfId="1" applyNumberFormat="1" applyFont="1" applyFill="1" applyBorder="1" applyProtection="1">
      <protection locked="0"/>
    </xf>
    <xf numFmtId="164" fontId="15" fillId="0" borderId="1" xfId="1" applyNumberFormat="1" applyFont="1" applyBorder="1"/>
    <xf numFmtId="164" fontId="15" fillId="3" borderId="0" xfId="1" applyNumberFormat="1" applyFont="1" applyFill="1" applyBorder="1"/>
    <xf numFmtId="164" fontId="15" fillId="0" borderId="0" xfId="1" applyNumberFormat="1" applyFont="1" applyBorder="1"/>
    <xf numFmtId="164" fontId="18" fillId="0" borderId="1" xfId="1" applyNumberFormat="1" applyFont="1" applyBorder="1" applyProtection="1">
      <protection locked="0"/>
    </xf>
    <xf numFmtId="164" fontId="18" fillId="3" borderId="0" xfId="1" applyNumberFormat="1" applyFont="1" applyFill="1" applyBorder="1" applyProtection="1">
      <protection locked="0"/>
    </xf>
    <xf numFmtId="164" fontId="18" fillId="0" borderId="0" xfId="1" applyNumberFormat="1" applyFont="1" applyBorder="1" applyProtection="1">
      <protection locked="0"/>
    </xf>
    <xf numFmtId="164" fontId="18" fillId="0" borderId="16" xfId="1" applyNumberFormat="1" applyFont="1" applyBorder="1" applyProtection="1">
      <protection locked="0"/>
    </xf>
    <xf numFmtId="164" fontId="18" fillId="3" borderId="3" xfId="1" applyNumberFormat="1" applyFont="1" applyFill="1" applyBorder="1" applyProtection="1">
      <protection locked="0"/>
    </xf>
    <xf numFmtId="164" fontId="18" fillId="0" borderId="3" xfId="1" applyNumberFormat="1" applyFont="1" applyBorder="1" applyProtection="1">
      <protection locked="0"/>
    </xf>
    <xf numFmtId="0" fontId="15" fillId="0" borderId="0" xfId="3" applyFont="1"/>
    <xf numFmtId="38" fontId="15" fillId="0" borderId="0" xfId="3" applyNumberFormat="1" applyFont="1"/>
    <xf numFmtId="0" fontId="15" fillId="0" borderId="0" xfId="3" applyFont="1" applyAlignment="1">
      <alignment horizontal="center"/>
    </xf>
    <xf numFmtId="0" fontId="15" fillId="0" borderId="0" xfId="3" applyFont="1" applyAlignment="1">
      <alignment horizontal="left"/>
    </xf>
    <xf numFmtId="0" fontId="15" fillId="0" borderId="9" xfId="3" applyFont="1" applyBorder="1" applyAlignment="1">
      <alignment horizontal="left"/>
    </xf>
    <xf numFmtId="0" fontId="18" fillId="0" borderId="7" xfId="3" applyNumberFormat="1" applyFont="1" applyBorder="1" applyAlignment="1" applyProtection="1">
      <alignment horizontal="left"/>
      <protection locked="0"/>
    </xf>
    <xf numFmtId="0" fontId="18" fillId="0" borderId="11" xfId="3" applyNumberFormat="1" applyFont="1" applyBorder="1" applyAlignment="1" applyProtection="1">
      <alignment horizontal="left"/>
      <protection locked="0"/>
    </xf>
    <xf numFmtId="0" fontId="15" fillId="0" borderId="18" xfId="3" applyFont="1" applyBorder="1" applyAlignment="1">
      <alignment horizontal="center"/>
    </xf>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164" fontId="15" fillId="0" borderId="15" xfId="1" applyNumberFormat="1" applyFont="1" applyBorder="1" applyProtection="1">
      <protection locked="0"/>
    </xf>
    <xf numFmtId="164" fontId="15" fillId="0" borderId="2" xfId="1" applyNumberFormat="1" applyFont="1" applyBorder="1" applyProtection="1">
      <protection locked="0"/>
    </xf>
    <xf numFmtId="164" fontId="15" fillId="3" borderId="2" xfId="1" applyNumberFormat="1" applyFont="1" applyFill="1" applyBorder="1" applyProtection="1">
      <protection locked="0"/>
    </xf>
    <xf numFmtId="164" fontId="15" fillId="0" borderId="1" xfId="1" applyNumberFormat="1" applyFont="1" applyBorder="1"/>
    <xf numFmtId="164" fontId="15" fillId="3" borderId="0" xfId="1" applyNumberFormat="1" applyFont="1" applyFill="1" applyBorder="1"/>
    <xf numFmtId="164" fontId="15" fillId="0" borderId="0" xfId="1" applyNumberFormat="1" applyFont="1" applyBorder="1"/>
    <xf numFmtId="164" fontId="18" fillId="0" borderId="1" xfId="1" applyNumberFormat="1" applyFont="1" applyBorder="1" applyProtection="1">
      <protection locked="0"/>
    </xf>
    <xf numFmtId="164" fontId="18" fillId="3" borderId="0" xfId="1" applyNumberFormat="1" applyFont="1" applyFill="1" applyBorder="1" applyProtection="1">
      <protection locked="0"/>
    </xf>
    <xf numFmtId="164" fontId="18" fillId="0" borderId="0" xfId="1" applyNumberFormat="1" applyFont="1" applyBorder="1" applyProtection="1">
      <protection locked="0"/>
    </xf>
    <xf numFmtId="164" fontId="18" fillId="0" borderId="16" xfId="1" applyNumberFormat="1" applyFont="1" applyBorder="1" applyProtection="1">
      <protection locked="0"/>
    </xf>
    <xf numFmtId="164" fontId="18" fillId="3" borderId="3" xfId="1" applyNumberFormat="1" applyFont="1" applyFill="1" applyBorder="1" applyProtection="1">
      <protection locked="0"/>
    </xf>
    <xf numFmtId="164" fontId="18" fillId="0" borderId="3" xfId="1" applyNumberFormat="1" applyFont="1" applyBorder="1" applyProtection="1">
      <protection locked="0"/>
    </xf>
    <xf numFmtId="0" fontId="15" fillId="0" borderId="0" xfId="3" applyFont="1"/>
    <xf numFmtId="38" fontId="15" fillId="0" borderId="0" xfId="3" applyNumberFormat="1" applyFont="1"/>
    <xf numFmtId="0" fontId="15" fillId="0" borderId="0" xfId="3" applyFont="1" applyAlignment="1">
      <alignment horizontal="center"/>
    </xf>
    <xf numFmtId="0" fontId="15" fillId="0" borderId="0" xfId="3" applyFont="1" applyAlignment="1">
      <alignment horizontal="left"/>
    </xf>
    <xf numFmtId="0" fontId="15" fillId="0" borderId="9" xfId="3" applyFont="1" applyBorder="1" applyAlignment="1">
      <alignment horizontal="left"/>
    </xf>
    <xf numFmtId="0" fontId="18" fillId="0" borderId="7" xfId="3" applyNumberFormat="1" applyFont="1" applyBorder="1" applyAlignment="1" applyProtection="1">
      <alignment horizontal="left"/>
      <protection locked="0"/>
    </xf>
    <xf numFmtId="0" fontId="18" fillId="0" borderId="11" xfId="3" applyNumberFormat="1" applyFont="1" applyBorder="1" applyAlignment="1" applyProtection="1">
      <alignment horizontal="left"/>
      <protection locked="0"/>
    </xf>
    <xf numFmtId="0" fontId="15" fillId="0" borderId="18" xfId="3" applyFont="1" applyBorder="1" applyAlignment="1">
      <alignment horizontal="center"/>
    </xf>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164" fontId="15" fillId="0" borderId="15" xfId="1" applyNumberFormat="1" applyFont="1" applyBorder="1" applyProtection="1">
      <protection locked="0"/>
    </xf>
    <xf numFmtId="164" fontId="15" fillId="0" borderId="2" xfId="1" applyNumberFormat="1" applyFont="1" applyBorder="1" applyProtection="1">
      <protection locked="0"/>
    </xf>
    <xf numFmtId="164" fontId="15" fillId="3" borderId="2" xfId="1" applyNumberFormat="1" applyFont="1" applyFill="1" applyBorder="1" applyProtection="1">
      <protection locked="0"/>
    </xf>
    <xf numFmtId="164" fontId="15" fillId="0" borderId="1" xfId="1" applyNumberFormat="1" applyFont="1" applyBorder="1"/>
    <xf numFmtId="164" fontId="15" fillId="3" borderId="0" xfId="1" applyNumberFormat="1" applyFont="1" applyFill="1" applyBorder="1"/>
    <xf numFmtId="164" fontId="15" fillId="0" borderId="0" xfId="1" applyNumberFormat="1" applyFont="1" applyBorder="1"/>
    <xf numFmtId="164" fontId="18" fillId="0" borderId="1" xfId="1" applyNumberFormat="1" applyFont="1" applyBorder="1" applyProtection="1">
      <protection locked="0"/>
    </xf>
    <xf numFmtId="164" fontId="18" fillId="3" borderId="0" xfId="1" applyNumberFormat="1" applyFont="1" applyFill="1" applyBorder="1" applyProtection="1">
      <protection locked="0"/>
    </xf>
    <xf numFmtId="164" fontId="18" fillId="0" borderId="0" xfId="1" applyNumberFormat="1" applyFont="1" applyBorder="1" applyProtection="1">
      <protection locked="0"/>
    </xf>
    <xf numFmtId="164" fontId="18" fillId="0" borderId="16" xfId="1" applyNumberFormat="1" applyFont="1" applyBorder="1" applyProtection="1">
      <protection locked="0"/>
    </xf>
    <xf numFmtId="164" fontId="18" fillId="3" borderId="3" xfId="1" applyNumberFormat="1" applyFont="1" applyFill="1" applyBorder="1" applyProtection="1">
      <protection locked="0"/>
    </xf>
    <xf numFmtId="164" fontId="18" fillId="0" borderId="3" xfId="1" applyNumberFormat="1" applyFont="1" applyBorder="1" applyProtection="1">
      <protection locked="0"/>
    </xf>
    <xf numFmtId="0" fontId="15" fillId="0" borderId="0" xfId="3" applyFont="1"/>
    <xf numFmtId="38" fontId="15" fillId="0" borderId="0" xfId="3" applyNumberFormat="1" applyFont="1"/>
    <xf numFmtId="0" fontId="15" fillId="0" borderId="0" xfId="3" applyFont="1" applyAlignment="1">
      <alignment horizontal="center"/>
    </xf>
    <xf numFmtId="0" fontId="15" fillId="0" borderId="0" xfId="3" applyFont="1" applyAlignment="1">
      <alignment horizontal="left"/>
    </xf>
    <xf numFmtId="0" fontId="15" fillId="0" borderId="9" xfId="3" applyFont="1" applyBorder="1" applyAlignment="1">
      <alignment horizontal="left"/>
    </xf>
    <xf numFmtId="0" fontId="18" fillId="0" borderId="7" xfId="3" applyNumberFormat="1" applyFont="1" applyBorder="1" applyAlignment="1" applyProtection="1">
      <alignment horizontal="left"/>
      <protection locked="0"/>
    </xf>
    <xf numFmtId="0" fontId="18" fillId="0" borderId="11" xfId="3" applyNumberFormat="1" applyFont="1" applyBorder="1" applyAlignment="1" applyProtection="1">
      <alignment horizontal="left"/>
      <protection locked="0"/>
    </xf>
    <xf numFmtId="0" fontId="15" fillId="0" borderId="18" xfId="3" applyFont="1" applyBorder="1" applyAlignment="1">
      <alignment horizontal="center"/>
    </xf>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164" fontId="15" fillId="0" borderId="15" xfId="1" applyNumberFormat="1" applyFont="1" applyBorder="1" applyProtection="1">
      <protection locked="0"/>
    </xf>
    <xf numFmtId="164" fontId="15" fillId="0" borderId="2" xfId="1" applyNumberFormat="1" applyFont="1" applyBorder="1" applyProtection="1">
      <protection locked="0"/>
    </xf>
    <xf numFmtId="164" fontId="15" fillId="3" borderId="2" xfId="1" applyNumberFormat="1" applyFont="1" applyFill="1" applyBorder="1" applyProtection="1">
      <protection locked="0"/>
    </xf>
    <xf numFmtId="164" fontId="15" fillId="0" borderId="1" xfId="1" applyNumberFormat="1" applyFont="1" applyBorder="1"/>
    <xf numFmtId="164" fontId="15" fillId="3" borderId="0" xfId="1" applyNumberFormat="1" applyFont="1" applyFill="1" applyBorder="1"/>
    <xf numFmtId="164" fontId="15" fillId="0" borderId="0" xfId="1" applyNumberFormat="1" applyFont="1" applyBorder="1"/>
    <xf numFmtId="164" fontId="18" fillId="0" borderId="1" xfId="1" applyNumberFormat="1" applyFont="1" applyBorder="1" applyProtection="1">
      <protection locked="0"/>
    </xf>
    <xf numFmtId="164" fontId="18" fillId="3" borderId="0" xfId="1" applyNumberFormat="1" applyFont="1" applyFill="1" applyBorder="1" applyProtection="1">
      <protection locked="0"/>
    </xf>
    <xf numFmtId="164" fontId="18" fillId="0" borderId="0" xfId="1" applyNumberFormat="1" applyFont="1" applyBorder="1" applyProtection="1">
      <protection locked="0"/>
    </xf>
    <xf numFmtId="164" fontId="18" fillId="0" borderId="16" xfId="1" applyNumberFormat="1" applyFont="1" applyBorder="1" applyProtection="1">
      <protection locked="0"/>
    </xf>
    <xf numFmtId="164" fontId="18" fillId="3" borderId="3" xfId="1" applyNumberFormat="1" applyFont="1" applyFill="1" applyBorder="1" applyProtection="1">
      <protection locked="0"/>
    </xf>
    <xf numFmtId="164" fontId="18" fillId="0" borderId="3" xfId="1" applyNumberFormat="1" applyFont="1" applyBorder="1" applyProtection="1">
      <protection locked="0"/>
    </xf>
    <xf numFmtId="0" fontId="15" fillId="0" borderId="0" xfId="3" applyFont="1"/>
    <xf numFmtId="38" fontId="15" fillId="0" borderId="0" xfId="3" applyNumberFormat="1" applyFont="1"/>
    <xf numFmtId="0" fontId="15" fillId="0" borderId="0" xfId="3" applyFont="1" applyAlignment="1">
      <alignment horizontal="center"/>
    </xf>
    <xf numFmtId="0" fontId="15" fillId="0" borderId="0" xfId="3" applyFont="1" applyAlignment="1">
      <alignment horizontal="left"/>
    </xf>
    <xf numFmtId="0" fontId="15" fillId="0" borderId="9" xfId="3" applyFont="1" applyBorder="1" applyAlignment="1">
      <alignment horizontal="left"/>
    </xf>
    <xf numFmtId="0" fontId="18" fillId="0" borderId="7" xfId="3" applyNumberFormat="1" applyFont="1" applyBorder="1" applyAlignment="1" applyProtection="1">
      <alignment horizontal="left"/>
      <protection locked="0"/>
    </xf>
    <xf numFmtId="0" fontId="18" fillId="0" borderId="11" xfId="3" applyNumberFormat="1" applyFont="1" applyBorder="1" applyAlignment="1" applyProtection="1">
      <alignment horizontal="left"/>
      <protection locked="0"/>
    </xf>
    <xf numFmtId="0" fontId="15" fillId="0" borderId="18" xfId="3" applyFont="1" applyBorder="1" applyAlignment="1">
      <alignment horizontal="center"/>
    </xf>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164" fontId="15" fillId="0" borderId="15" xfId="1" applyNumberFormat="1" applyFont="1" applyBorder="1" applyProtection="1">
      <protection locked="0"/>
    </xf>
    <xf numFmtId="164" fontId="15" fillId="0" borderId="2" xfId="1" applyNumberFormat="1" applyFont="1" applyBorder="1" applyProtection="1">
      <protection locked="0"/>
    </xf>
    <xf numFmtId="164" fontId="15" fillId="3" borderId="2" xfId="1" applyNumberFormat="1" applyFont="1" applyFill="1" applyBorder="1" applyProtection="1">
      <protection locked="0"/>
    </xf>
    <xf numFmtId="164" fontId="18" fillId="3" borderId="0" xfId="1" applyNumberFormat="1" applyFont="1" applyFill="1" applyBorder="1" applyProtection="1">
      <protection locked="0"/>
    </xf>
    <xf numFmtId="164" fontId="18" fillId="3" borderId="3" xfId="1" applyNumberFormat="1" applyFont="1" applyFill="1" applyBorder="1" applyProtection="1">
      <protection locked="0"/>
    </xf>
    <xf numFmtId="164" fontId="18" fillId="0" borderId="16" xfId="1" applyNumberFormat="1" applyFont="1" applyFill="1" applyBorder="1" applyProtection="1">
      <protection locked="0"/>
    </xf>
    <xf numFmtId="164" fontId="18" fillId="0" borderId="3" xfId="1" applyNumberFormat="1" applyFont="1" applyFill="1" applyBorder="1" applyProtection="1">
      <protection locked="0"/>
    </xf>
    <xf numFmtId="0" fontId="15" fillId="0" borderId="0" xfId="3" applyFont="1"/>
    <xf numFmtId="38" fontId="15" fillId="0" borderId="0" xfId="3" applyNumberFormat="1" applyFont="1"/>
    <xf numFmtId="0" fontId="15" fillId="0" borderId="0" xfId="3" applyFont="1" applyAlignment="1">
      <alignment horizontal="center"/>
    </xf>
    <xf numFmtId="0" fontId="15" fillId="0" borderId="0" xfId="3" applyFont="1" applyAlignment="1">
      <alignment horizontal="left"/>
    </xf>
    <xf numFmtId="0" fontId="15" fillId="0" borderId="9" xfId="3" applyFont="1" applyBorder="1" applyAlignment="1">
      <alignment horizontal="left"/>
    </xf>
    <xf numFmtId="0" fontId="18" fillId="0" borderId="7" xfId="3" applyNumberFormat="1" applyFont="1" applyBorder="1" applyAlignment="1" applyProtection="1">
      <alignment horizontal="left"/>
      <protection locked="0"/>
    </xf>
    <xf numFmtId="0" fontId="18" fillId="0" borderId="11" xfId="3" applyNumberFormat="1" applyFont="1" applyBorder="1" applyAlignment="1" applyProtection="1">
      <alignment horizontal="left"/>
      <protection locked="0"/>
    </xf>
    <xf numFmtId="0" fontId="15" fillId="0" borderId="18" xfId="3" applyFont="1" applyBorder="1" applyAlignment="1">
      <alignment horizontal="center"/>
    </xf>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164" fontId="15" fillId="0" borderId="15" xfId="1" applyNumberFormat="1" applyFont="1" applyBorder="1" applyProtection="1">
      <protection locked="0"/>
    </xf>
    <xf numFmtId="164" fontId="15" fillId="0" borderId="2" xfId="1" applyNumberFormat="1" applyFont="1" applyBorder="1" applyProtection="1">
      <protection locked="0"/>
    </xf>
    <xf numFmtId="164" fontId="15" fillId="3" borderId="2" xfId="1" applyNumberFormat="1" applyFont="1" applyFill="1" applyBorder="1" applyProtection="1">
      <protection locked="0"/>
    </xf>
    <xf numFmtId="164" fontId="18" fillId="3" borderId="0" xfId="1" applyNumberFormat="1" applyFont="1" applyFill="1" applyBorder="1" applyProtection="1">
      <protection locked="0"/>
    </xf>
    <xf numFmtId="164" fontId="18" fillId="3" borderId="3" xfId="1" applyNumberFormat="1" applyFont="1" applyFill="1" applyBorder="1" applyProtection="1">
      <protection locked="0"/>
    </xf>
    <xf numFmtId="164" fontId="18" fillId="0" borderId="1" xfId="1" applyNumberFormat="1" applyFont="1" applyFill="1" applyBorder="1" applyProtection="1">
      <protection locked="0"/>
    </xf>
    <xf numFmtId="164" fontId="18" fillId="0" borderId="16" xfId="1" applyNumberFormat="1" applyFont="1" applyFill="1" applyBorder="1" applyProtection="1">
      <protection locked="0"/>
    </xf>
    <xf numFmtId="164" fontId="18" fillId="0" borderId="0" xfId="1" applyNumberFormat="1" applyFont="1" applyFill="1" applyBorder="1" applyProtection="1">
      <protection locked="0"/>
    </xf>
    <xf numFmtId="164" fontId="18" fillId="0" borderId="3" xfId="1" applyNumberFormat="1" applyFont="1" applyFill="1" applyBorder="1" applyProtection="1">
      <protection locked="0"/>
    </xf>
    <xf numFmtId="164" fontId="18" fillId="0" borderId="3" xfId="1" applyNumberFormat="1" applyFont="1" applyBorder="1" applyAlignment="1" applyProtection="1">
      <alignment horizontal="center"/>
      <protection locked="0"/>
    </xf>
    <xf numFmtId="165" fontId="18" fillId="0" borderId="1" xfId="2" applyNumberFormat="1" applyFont="1" applyBorder="1" applyAlignment="1" applyProtection="1">
      <alignment horizontal="center"/>
      <protection locked="0"/>
    </xf>
    <xf numFmtId="165" fontId="18" fillId="0" borderId="0" xfId="2" applyNumberFormat="1" applyFont="1" applyBorder="1" applyAlignment="1" applyProtection="1">
      <alignment horizontal="center"/>
      <protection locked="0"/>
    </xf>
    <xf numFmtId="164" fontId="18" fillId="3" borderId="3" xfId="1" applyNumberFormat="1" applyFont="1" applyFill="1" applyBorder="1" applyAlignment="1" applyProtection="1">
      <alignment horizontal="center"/>
      <protection locked="0"/>
    </xf>
    <xf numFmtId="1" fontId="15" fillId="0" borderId="0" xfId="3" applyNumberFormat="1" applyFont="1" applyAlignment="1" applyProtection="1">
      <alignment horizontal="center"/>
      <protection locked="0"/>
    </xf>
    <xf numFmtId="164" fontId="18" fillId="0" borderId="16" xfId="1" applyNumberFormat="1" applyFont="1" applyBorder="1" applyAlignment="1" applyProtection="1">
      <alignment horizontal="center"/>
      <protection locked="0"/>
    </xf>
    <xf numFmtId="165" fontId="15" fillId="0" borderId="1" xfId="2" applyNumberFormat="1" applyFont="1" applyBorder="1" applyAlignment="1">
      <alignment horizontal="center"/>
    </xf>
    <xf numFmtId="165" fontId="18" fillId="3" borderId="0" xfId="2" applyNumberFormat="1" applyFont="1" applyFill="1" applyBorder="1" applyAlignment="1" applyProtection="1">
      <alignment horizontal="center"/>
      <protection locked="0"/>
    </xf>
    <xf numFmtId="0" fontId="15" fillId="0" borderId="0" xfId="3" applyFont="1"/>
    <xf numFmtId="0" fontId="15" fillId="0" borderId="0" xfId="3" applyFont="1" applyAlignment="1">
      <alignment horizontal="center"/>
    </xf>
    <xf numFmtId="0" fontId="15" fillId="0" borderId="0" xfId="3" applyFont="1" applyAlignment="1">
      <alignment horizontal="left"/>
    </xf>
    <xf numFmtId="0" fontId="15" fillId="0" borderId="9" xfId="3" applyFont="1" applyBorder="1" applyAlignment="1">
      <alignment horizontal="left"/>
    </xf>
    <xf numFmtId="0" fontId="18" fillId="0" borderId="7" xfId="3" applyNumberFormat="1" applyFont="1" applyBorder="1" applyAlignment="1" applyProtection="1">
      <alignment horizontal="left"/>
      <protection locked="0"/>
    </xf>
    <xf numFmtId="0" fontId="18" fillId="0" borderId="11" xfId="3" applyNumberFormat="1" applyFont="1" applyBorder="1" applyAlignment="1" applyProtection="1">
      <alignment horizontal="left"/>
      <protection locked="0"/>
    </xf>
    <xf numFmtId="0" fontId="15" fillId="0" borderId="7" xfId="3" applyNumberFormat="1" applyFont="1" applyBorder="1" applyAlignment="1" applyProtection="1">
      <alignment horizontal="left"/>
      <protection locked="0"/>
    </xf>
    <xf numFmtId="0" fontId="15" fillId="3" borderId="18" xfId="3" applyFont="1" applyFill="1" applyBorder="1" applyAlignment="1">
      <alignment horizontal="center"/>
    </xf>
    <xf numFmtId="164" fontId="15" fillId="3" borderId="2" xfId="1" applyNumberFormat="1" applyFont="1" applyFill="1" applyBorder="1" applyProtection="1">
      <protection locked="0"/>
    </xf>
    <xf numFmtId="164" fontId="15" fillId="3" borderId="0" xfId="1" applyNumberFormat="1" applyFont="1" applyFill="1" applyBorder="1"/>
    <xf numFmtId="164" fontId="18" fillId="3" borderId="0" xfId="1" applyNumberFormat="1" applyFont="1" applyFill="1" applyBorder="1" applyProtection="1">
      <protection locked="0"/>
    </xf>
    <xf numFmtId="164" fontId="18" fillId="3" borderId="3" xfId="1" applyNumberFormat="1" applyFont="1" applyFill="1" applyBorder="1" applyProtection="1">
      <protection locked="0"/>
    </xf>
    <xf numFmtId="164" fontId="18" fillId="0" borderId="1" xfId="1" applyNumberFormat="1" applyFont="1" applyFill="1" applyBorder="1" applyProtection="1">
      <protection locked="0"/>
    </xf>
    <xf numFmtId="164" fontId="18" fillId="0" borderId="16" xfId="1" applyNumberFormat="1" applyFont="1" applyFill="1" applyBorder="1" applyProtection="1">
      <protection locked="0"/>
    </xf>
    <xf numFmtId="164" fontId="18" fillId="0" borderId="0" xfId="1" applyNumberFormat="1" applyFont="1" applyFill="1" applyBorder="1" applyProtection="1">
      <protection locked="0"/>
    </xf>
    <xf numFmtId="164" fontId="18" fillId="0" borderId="3" xfId="1" applyNumberFormat="1" applyFont="1" applyFill="1" applyBorder="1" applyProtection="1">
      <protection locked="0"/>
    </xf>
    <xf numFmtId="0" fontId="15" fillId="0" borderId="0" xfId="3" applyFont="1"/>
    <xf numFmtId="0" fontId="15" fillId="0" borderId="0" xfId="3" applyFont="1" applyAlignment="1">
      <alignment horizontal="center"/>
    </xf>
    <xf numFmtId="0" fontId="15" fillId="0" borderId="0" xfId="3" applyFont="1" applyAlignment="1">
      <alignment horizontal="left"/>
    </xf>
    <xf numFmtId="0" fontId="15" fillId="0" borderId="9" xfId="3" applyFont="1" applyBorder="1" applyAlignment="1">
      <alignment horizontal="left"/>
    </xf>
    <xf numFmtId="0" fontId="18" fillId="0" borderId="7" xfId="3" applyNumberFormat="1" applyFont="1" applyBorder="1" applyAlignment="1" applyProtection="1">
      <alignment horizontal="left"/>
      <protection locked="0"/>
    </xf>
    <xf numFmtId="0" fontId="18" fillId="0" borderId="11" xfId="3" applyNumberFormat="1" applyFont="1" applyBorder="1" applyAlignment="1" applyProtection="1">
      <alignment horizontal="left"/>
      <protection locked="0"/>
    </xf>
    <xf numFmtId="0" fontId="15" fillId="0" borderId="7" xfId="3" applyNumberFormat="1" applyFont="1" applyBorder="1" applyAlignment="1" applyProtection="1">
      <alignment horizontal="left"/>
      <protection locked="0"/>
    </xf>
    <xf numFmtId="0" fontId="15" fillId="3" borderId="18" xfId="3" applyFont="1" applyFill="1" applyBorder="1" applyAlignment="1">
      <alignment horizontal="center"/>
    </xf>
    <xf numFmtId="164" fontId="15" fillId="3" borderId="2" xfId="1" applyNumberFormat="1" applyFont="1" applyFill="1" applyBorder="1" applyProtection="1">
      <protection locked="0"/>
    </xf>
    <xf numFmtId="164" fontId="15" fillId="3" borderId="0" xfId="1" applyNumberFormat="1" applyFont="1" applyFill="1" applyBorder="1"/>
    <xf numFmtId="164" fontId="18" fillId="3" borderId="0" xfId="1" applyNumberFormat="1" applyFont="1" applyFill="1" applyBorder="1" applyProtection="1">
      <protection locked="0"/>
    </xf>
    <xf numFmtId="164" fontId="18" fillId="3" borderId="3" xfId="1" applyNumberFormat="1" applyFont="1" applyFill="1" applyBorder="1" applyProtection="1">
      <protection locked="0"/>
    </xf>
    <xf numFmtId="166" fontId="15" fillId="5" borderId="0" xfId="8" applyNumberFormat="1" applyFont="1" applyFill="1" applyBorder="1" applyAlignment="1">
      <alignment horizontal="center" vertical="center"/>
    </xf>
    <xf numFmtId="166" fontId="15" fillId="5" borderId="8" xfId="1" applyNumberFormat="1" applyFont="1" applyFill="1" applyBorder="1" applyAlignment="1">
      <alignment horizontal="center" vertical="center"/>
    </xf>
    <xf numFmtId="166" fontId="15" fillId="3" borderId="18" xfId="3" applyNumberFormat="1" applyFont="1" applyFill="1" applyBorder="1" applyAlignment="1">
      <alignment horizontal="center" vertical="center"/>
    </xf>
    <xf numFmtId="166" fontId="15" fillId="0" borderId="2" xfId="8" applyNumberFormat="1" applyFont="1" applyBorder="1" applyProtection="1">
      <protection locked="0"/>
    </xf>
    <xf numFmtId="166" fontId="15" fillId="5" borderId="6" xfId="3" applyNumberFormat="1" applyFont="1" applyFill="1" applyBorder="1" applyAlignment="1">
      <alignment horizontal="center" vertical="center"/>
    </xf>
    <xf numFmtId="166" fontId="15" fillId="3" borderId="5" xfId="2" applyNumberFormat="1" applyFont="1" applyFill="1" applyBorder="1" applyAlignment="1">
      <alignment horizontal="center" vertical="center"/>
    </xf>
    <xf numFmtId="166" fontId="15" fillId="5" borderId="19" xfId="3" applyNumberFormat="1" applyFont="1" applyFill="1" applyBorder="1" applyAlignment="1">
      <alignment horizontal="center" vertical="center" wrapText="1"/>
    </xf>
    <xf numFmtId="166" fontId="15" fillId="3" borderId="2" xfId="8" applyNumberFormat="1" applyFont="1" applyFill="1" applyBorder="1" applyProtection="1">
      <protection locked="0"/>
    </xf>
    <xf numFmtId="166" fontId="15" fillId="5" borderId="18" xfId="3" applyNumberFormat="1" applyFont="1" applyFill="1" applyBorder="1" applyAlignment="1">
      <alignment horizontal="center" vertical="center" wrapText="1"/>
    </xf>
    <xf numFmtId="166" fontId="15" fillId="0" borderId="0" xfId="3" applyNumberFormat="1" applyFont="1" applyAlignment="1">
      <alignment horizontal="center" vertical="center"/>
    </xf>
    <xf numFmtId="166" fontId="15" fillId="0" borderId="0" xfId="3" applyNumberFormat="1" applyFont="1" applyBorder="1" applyAlignment="1">
      <alignment horizontal="center" vertical="center"/>
    </xf>
    <xf numFmtId="166" fontId="18" fillId="3" borderId="0" xfId="1" applyNumberFormat="1" applyFont="1" applyFill="1" applyBorder="1" applyAlignment="1" applyProtection="1">
      <alignment horizontal="center" vertical="center"/>
      <protection locked="0"/>
    </xf>
    <xf numFmtId="166" fontId="15" fillId="3" borderId="0" xfId="1" applyNumberFormat="1" applyFont="1" applyFill="1" applyBorder="1" applyAlignment="1">
      <alignment horizontal="center" vertical="center"/>
    </xf>
    <xf numFmtId="166" fontId="15" fillId="5" borderId="5" xfId="3" applyNumberFormat="1" applyFont="1" applyFill="1" applyBorder="1" applyAlignment="1">
      <alignment horizontal="center" vertical="center"/>
    </xf>
    <xf numFmtId="166" fontId="15" fillId="0" borderId="15" xfId="8" applyNumberFormat="1" applyFont="1" applyBorder="1" applyProtection="1">
      <protection locked="0"/>
    </xf>
    <xf numFmtId="166" fontId="15" fillId="5" borderId="0" xfId="1" applyNumberFormat="1" applyFont="1" applyFill="1" applyBorder="1" applyAlignment="1">
      <alignment horizontal="center" vertical="center"/>
    </xf>
    <xf numFmtId="164" fontId="18" fillId="0" borderId="1" xfId="1" applyNumberFormat="1" applyFont="1" applyBorder="1"/>
    <xf numFmtId="0" fontId="15" fillId="0" borderId="0" xfId="3" applyFont="1"/>
    <xf numFmtId="0" fontId="15" fillId="0" borderId="0" xfId="3" applyFont="1" applyAlignment="1">
      <alignment horizontal="center"/>
    </xf>
    <xf numFmtId="0" fontId="15" fillId="0" borderId="0" xfId="3" applyFont="1" applyAlignment="1">
      <alignment horizontal="left"/>
    </xf>
    <xf numFmtId="0" fontId="15" fillId="0" borderId="9" xfId="3" applyFont="1" applyBorder="1" applyAlignment="1">
      <alignment horizontal="left"/>
    </xf>
    <xf numFmtId="0" fontId="18" fillId="0" borderId="7" xfId="3" applyNumberFormat="1" applyFont="1" applyBorder="1" applyAlignment="1" applyProtection="1">
      <alignment horizontal="left"/>
      <protection locked="0"/>
    </xf>
    <xf numFmtId="0" fontId="18" fillId="0" borderId="11" xfId="3" applyNumberFormat="1" applyFont="1" applyBorder="1" applyAlignment="1" applyProtection="1">
      <alignment horizontal="left"/>
      <protection locked="0"/>
    </xf>
    <xf numFmtId="0" fontId="15" fillId="0" borderId="7" xfId="3" applyNumberFormat="1" applyFont="1" applyBorder="1" applyAlignment="1" applyProtection="1">
      <alignment horizontal="left"/>
      <protection locked="0"/>
    </xf>
    <xf numFmtId="0" fontId="23" fillId="0" borderId="0" xfId="3" applyFont="1"/>
    <xf numFmtId="0" fontId="15" fillId="3" borderId="18" xfId="3" applyFont="1" applyFill="1" applyBorder="1" applyAlignment="1">
      <alignment horizontal="center"/>
    </xf>
    <xf numFmtId="164" fontId="15" fillId="3" borderId="2" xfId="1" applyNumberFormat="1" applyFont="1" applyFill="1" applyBorder="1" applyProtection="1">
      <protection locked="0"/>
    </xf>
    <xf numFmtId="164" fontId="15" fillId="3" borderId="0" xfId="1" applyNumberFormat="1" applyFont="1" applyFill="1" applyBorder="1"/>
    <xf numFmtId="164" fontId="18" fillId="3" borderId="0" xfId="1" applyNumberFormat="1" applyFont="1" applyFill="1" applyBorder="1" applyProtection="1">
      <protection locked="0"/>
    </xf>
    <xf numFmtId="164" fontId="18" fillId="3" borderId="3" xfId="1" applyNumberFormat="1" applyFont="1" applyFill="1" applyBorder="1" applyProtection="1">
      <protection locked="0"/>
    </xf>
    <xf numFmtId="0" fontId="15" fillId="0" borderId="0" xfId="3" applyFont="1"/>
    <xf numFmtId="0" fontId="15" fillId="0" borderId="0" xfId="3" applyFont="1" applyAlignment="1">
      <alignment horizontal="center"/>
    </xf>
    <xf numFmtId="0" fontId="15" fillId="0" borderId="0" xfId="3" applyFont="1" applyAlignment="1">
      <alignment horizontal="left"/>
    </xf>
    <xf numFmtId="0" fontId="15" fillId="0" borderId="9" xfId="3" applyFont="1" applyBorder="1" applyAlignment="1">
      <alignment horizontal="left"/>
    </xf>
    <xf numFmtId="0" fontId="18" fillId="0" borderId="7" xfId="3" applyNumberFormat="1" applyFont="1" applyBorder="1" applyAlignment="1" applyProtection="1">
      <alignment horizontal="left"/>
      <protection locked="0"/>
    </xf>
    <xf numFmtId="0" fontId="18" fillId="0" borderId="11" xfId="3" applyNumberFormat="1" applyFont="1" applyBorder="1" applyAlignment="1" applyProtection="1">
      <alignment horizontal="left"/>
      <protection locked="0"/>
    </xf>
    <xf numFmtId="0" fontId="15" fillId="0" borderId="7" xfId="3" applyNumberFormat="1" applyFont="1" applyBorder="1" applyAlignment="1" applyProtection="1">
      <alignment horizontal="left"/>
      <protection locked="0"/>
    </xf>
    <xf numFmtId="0" fontId="15" fillId="3" borderId="18" xfId="3" applyFont="1" applyFill="1" applyBorder="1" applyAlignment="1">
      <alignment horizontal="center"/>
    </xf>
    <xf numFmtId="164" fontId="15" fillId="3" borderId="2" xfId="1" applyNumberFormat="1" applyFont="1" applyFill="1" applyBorder="1" applyProtection="1">
      <protection locked="0"/>
    </xf>
    <xf numFmtId="164" fontId="15" fillId="3" borderId="0" xfId="1" applyNumberFormat="1" applyFont="1" applyFill="1" applyBorder="1"/>
    <xf numFmtId="164" fontId="18" fillId="3" borderId="0" xfId="1" applyNumberFormat="1" applyFont="1" applyFill="1" applyBorder="1" applyProtection="1">
      <protection locked="0"/>
    </xf>
    <xf numFmtId="164" fontId="18" fillId="3" borderId="3" xfId="1" applyNumberFormat="1" applyFont="1" applyFill="1" applyBorder="1" applyProtection="1">
      <protection locked="0"/>
    </xf>
    <xf numFmtId="0" fontId="15" fillId="0" borderId="0" xfId="3" applyFont="1"/>
    <xf numFmtId="0" fontId="15" fillId="0" borderId="0" xfId="3" applyFont="1" applyAlignment="1">
      <alignment horizontal="center"/>
    </xf>
    <xf numFmtId="0" fontId="15" fillId="0" borderId="0" xfId="3" applyFont="1" applyAlignment="1">
      <alignment horizontal="left"/>
    </xf>
    <xf numFmtId="0" fontId="15" fillId="0" borderId="9" xfId="3" applyFont="1" applyBorder="1" applyAlignment="1">
      <alignment horizontal="left"/>
    </xf>
    <xf numFmtId="0" fontId="18" fillId="0" borderId="7" xfId="3" applyNumberFormat="1" applyFont="1" applyBorder="1" applyAlignment="1" applyProtection="1">
      <alignment horizontal="left"/>
      <protection locked="0"/>
    </xf>
    <xf numFmtId="0" fontId="18" fillId="0" borderId="11" xfId="3" applyNumberFormat="1" applyFont="1" applyBorder="1" applyAlignment="1" applyProtection="1">
      <alignment horizontal="left"/>
      <protection locked="0"/>
    </xf>
    <xf numFmtId="0" fontId="15" fillId="0" borderId="7" xfId="3" applyNumberFormat="1" applyFont="1" applyBorder="1" applyAlignment="1" applyProtection="1">
      <alignment horizontal="left"/>
      <protection locked="0"/>
    </xf>
    <xf numFmtId="0" fontId="15" fillId="3" borderId="18" xfId="3" applyFont="1" applyFill="1" applyBorder="1" applyAlignment="1">
      <alignment horizontal="center"/>
    </xf>
    <xf numFmtId="164" fontId="15" fillId="3" borderId="2" xfId="1" applyNumberFormat="1" applyFont="1" applyFill="1" applyBorder="1" applyProtection="1">
      <protection locked="0"/>
    </xf>
    <xf numFmtId="164" fontId="15" fillId="3" borderId="0" xfId="1" applyNumberFormat="1" applyFont="1" applyFill="1" applyBorder="1"/>
    <xf numFmtId="164" fontId="18" fillId="3" borderId="0" xfId="1" applyNumberFormat="1" applyFont="1" applyFill="1" applyBorder="1" applyProtection="1">
      <protection locked="0"/>
    </xf>
    <xf numFmtId="164" fontId="18" fillId="3" borderId="3" xfId="1" applyNumberFormat="1" applyFont="1" applyFill="1" applyBorder="1" applyProtection="1">
      <protection locked="0"/>
    </xf>
    <xf numFmtId="0" fontId="15" fillId="0" borderId="0" xfId="3" applyFont="1"/>
    <xf numFmtId="0" fontId="15" fillId="0" borderId="0" xfId="3" applyFont="1" applyAlignment="1">
      <alignment horizontal="center"/>
    </xf>
    <xf numFmtId="0" fontId="18" fillId="0" borderId="7" xfId="3" applyNumberFormat="1" applyFont="1" applyBorder="1" applyAlignment="1" applyProtection="1">
      <alignment horizontal="left"/>
      <protection locked="0"/>
    </xf>
    <xf numFmtId="0" fontId="15" fillId="0" borderId="7" xfId="3" applyNumberFormat="1" applyFont="1" applyBorder="1" applyAlignment="1" applyProtection="1">
      <alignment horizontal="left"/>
      <protection locked="0"/>
    </xf>
    <xf numFmtId="0" fontId="18" fillId="0" borderId="0" xfId="3" applyNumberFormat="1" applyFont="1" applyFill="1" applyBorder="1" applyAlignment="1" applyProtection="1">
      <alignment horizontal="left"/>
      <protection locked="0"/>
    </xf>
    <xf numFmtId="0" fontId="15" fillId="0" borderId="18" xfId="3" applyFont="1" applyBorder="1" applyAlignment="1">
      <alignment horizontal="center"/>
    </xf>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0" fontId="15" fillId="0" borderId="4" xfId="3" applyNumberFormat="1" applyFont="1" applyBorder="1" applyAlignment="1" applyProtection="1">
      <alignment horizontal="left"/>
      <protection locked="0"/>
    </xf>
    <xf numFmtId="0" fontId="15" fillId="0" borderId="0" xfId="3" applyFont="1" applyFill="1"/>
    <xf numFmtId="164" fontId="15" fillId="0" borderId="1" xfId="1" applyNumberFormat="1" applyFont="1" applyBorder="1"/>
    <xf numFmtId="164" fontId="15" fillId="3" borderId="0" xfId="1" applyNumberFormat="1" applyFont="1" applyFill="1" applyBorder="1"/>
    <xf numFmtId="164" fontId="15" fillId="0" borderId="0" xfId="1" applyNumberFormat="1" applyFont="1" applyBorder="1"/>
    <xf numFmtId="164" fontId="18" fillId="0" borderId="1" xfId="1" applyNumberFormat="1" applyFont="1" applyBorder="1" applyProtection="1">
      <protection locked="0"/>
    </xf>
    <xf numFmtId="164" fontId="18" fillId="3" borderId="0" xfId="1" applyNumberFormat="1" applyFont="1" applyFill="1" applyBorder="1" applyProtection="1">
      <protection locked="0"/>
    </xf>
    <xf numFmtId="164" fontId="18" fillId="0" borderId="0" xfId="1" applyNumberFormat="1" applyFont="1" applyBorder="1" applyProtection="1">
      <protection locked="0"/>
    </xf>
    <xf numFmtId="0" fontId="15" fillId="0" borderId="0" xfId="3" applyFont="1"/>
    <xf numFmtId="0" fontId="15" fillId="0" borderId="0" xfId="3" applyFont="1" applyAlignment="1">
      <alignment horizontal="center"/>
    </xf>
    <xf numFmtId="0" fontId="18" fillId="0" borderId="7" xfId="3" applyNumberFormat="1" applyFont="1" applyBorder="1" applyAlignment="1" applyProtection="1">
      <alignment horizontal="left"/>
      <protection locked="0"/>
    </xf>
    <xf numFmtId="0" fontId="15" fillId="0" borderId="7" xfId="3" applyNumberFormat="1" applyFont="1" applyBorder="1" applyAlignment="1" applyProtection="1">
      <alignment horizontal="left"/>
      <protection locked="0"/>
    </xf>
    <xf numFmtId="0" fontId="18" fillId="0" borderId="0" xfId="3" applyNumberFormat="1" applyFont="1" applyFill="1" applyBorder="1" applyAlignment="1" applyProtection="1">
      <alignment horizontal="left"/>
      <protection locked="0"/>
    </xf>
    <xf numFmtId="0" fontId="15" fillId="0" borderId="18" xfId="3" applyFont="1" applyBorder="1" applyAlignment="1">
      <alignment horizontal="center"/>
    </xf>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0" fontId="15" fillId="0" borderId="4" xfId="3" applyNumberFormat="1" applyFont="1" applyBorder="1" applyAlignment="1" applyProtection="1">
      <alignment horizontal="left"/>
      <protection locked="0"/>
    </xf>
    <xf numFmtId="0" fontId="15" fillId="0" borderId="0" xfId="3" applyFont="1" applyFill="1"/>
    <xf numFmtId="164" fontId="15" fillId="0" borderId="1" xfId="1" applyNumberFormat="1" applyFont="1" applyBorder="1"/>
    <xf numFmtId="164" fontId="15" fillId="3" borderId="0" xfId="1" applyNumberFormat="1" applyFont="1" applyFill="1" applyBorder="1"/>
    <xf numFmtId="164" fontId="15" fillId="0" borderId="0" xfId="1" applyNumberFormat="1" applyFont="1" applyBorder="1"/>
    <xf numFmtId="164" fontId="18" fillId="0" borderId="1" xfId="1" applyNumberFormat="1" applyFont="1" applyBorder="1" applyProtection="1">
      <protection locked="0"/>
    </xf>
    <xf numFmtId="164" fontId="18" fillId="3" borderId="0" xfId="1" applyNumberFormat="1" applyFont="1" applyFill="1" applyBorder="1" applyProtection="1">
      <protection locked="0"/>
    </xf>
    <xf numFmtId="164" fontId="18" fillId="0" borderId="0" xfId="1" applyNumberFormat="1" applyFont="1" applyBorder="1" applyProtection="1">
      <protection locked="0"/>
    </xf>
    <xf numFmtId="166" fontId="15" fillId="3" borderId="0" xfId="8" applyNumberFormat="1" applyFont="1" applyFill="1" applyBorder="1" applyAlignment="1">
      <alignment horizontal="center" vertical="center"/>
    </xf>
    <xf numFmtId="166" fontId="18" fillId="3" borderId="0" xfId="8" applyNumberFormat="1" applyFont="1" applyFill="1" applyBorder="1" applyAlignment="1" applyProtection="1">
      <alignment horizontal="center" vertical="center"/>
      <protection locked="0"/>
    </xf>
    <xf numFmtId="166" fontId="15" fillId="5" borderId="8" xfId="8" applyNumberFormat="1" applyFont="1" applyFill="1" applyBorder="1" applyAlignment="1">
      <alignment horizontal="center" vertical="center"/>
    </xf>
    <xf numFmtId="166" fontId="15" fillId="5" borderId="0" xfId="3" applyNumberFormat="1" applyFont="1" applyFill="1" applyBorder="1" applyAlignment="1">
      <alignment horizontal="center" vertical="center"/>
    </xf>
    <xf numFmtId="166" fontId="18" fillId="3" borderId="0" xfId="2" applyNumberFormat="1" applyFont="1" applyFill="1" applyBorder="1" applyAlignment="1" applyProtection="1">
      <alignment horizontal="center" vertical="center"/>
      <protection locked="0"/>
    </xf>
    <xf numFmtId="166" fontId="15" fillId="5" borderId="8" xfId="3" applyNumberFormat="1" applyFont="1" applyFill="1" applyBorder="1" applyAlignment="1">
      <alignment horizontal="center" vertical="center"/>
    </xf>
    <xf numFmtId="166" fontId="15" fillId="5" borderId="2" xfId="8" applyNumberFormat="1" applyFont="1" applyFill="1" applyBorder="1" applyAlignment="1">
      <alignment horizontal="center" vertical="center"/>
    </xf>
    <xf numFmtId="166" fontId="15" fillId="3" borderId="2" xfId="8" applyNumberFormat="1" applyFont="1" applyFill="1" applyBorder="1" applyAlignment="1">
      <alignment horizontal="center" vertical="center"/>
    </xf>
    <xf numFmtId="166" fontId="15" fillId="5" borderId="10" xfId="8" applyNumberFormat="1" applyFont="1" applyFill="1" applyBorder="1" applyAlignment="1">
      <alignment horizontal="center" vertical="center"/>
    </xf>
    <xf numFmtId="166" fontId="15" fillId="0" borderId="0" xfId="3" applyNumberFormat="1" applyFont="1" applyFill="1" applyBorder="1" applyAlignment="1">
      <alignment horizontal="center" vertical="center"/>
    </xf>
    <xf numFmtId="166" fontId="18" fillId="0" borderId="0" xfId="2" applyNumberFormat="1" applyFont="1" applyFill="1" applyBorder="1" applyAlignment="1" applyProtection="1">
      <alignment horizontal="center" vertical="center"/>
      <protection locked="0"/>
    </xf>
    <xf numFmtId="166" fontId="15" fillId="3" borderId="2" xfId="8" applyNumberFormat="1" applyFont="1" applyFill="1" applyBorder="1" applyAlignment="1" applyProtection="1">
      <alignment horizontal="center" vertical="center"/>
      <protection locked="0"/>
    </xf>
    <xf numFmtId="166" fontId="15" fillId="0" borderId="0" xfId="3" applyNumberFormat="1" applyFont="1" applyFill="1" applyAlignment="1">
      <alignment horizontal="center" vertical="center"/>
    </xf>
    <xf numFmtId="166" fontId="15" fillId="0" borderId="0" xfId="8" applyNumberFormat="1" applyFont="1" applyBorder="1" applyProtection="1">
      <protection locked="0"/>
    </xf>
    <xf numFmtId="166" fontId="15" fillId="3" borderId="0" xfId="8" applyNumberFormat="1" applyFont="1" applyFill="1" applyBorder="1" applyProtection="1">
      <protection locked="0"/>
    </xf>
    <xf numFmtId="166" fontId="15" fillId="3" borderId="0" xfId="8" applyNumberFormat="1" applyFont="1" applyFill="1" applyBorder="1" applyAlignment="1" applyProtection="1">
      <alignment horizontal="center" vertical="center"/>
      <protection locked="0"/>
    </xf>
    <xf numFmtId="0" fontId="26" fillId="0" borderId="0" xfId="3" applyNumberFormat="1" applyFont="1" applyFill="1" applyBorder="1" applyAlignment="1" applyProtection="1">
      <alignment horizontal="left"/>
      <protection locked="0"/>
    </xf>
    <xf numFmtId="6" fontId="15" fillId="0" borderId="0" xfId="3" applyNumberFormat="1" applyFont="1" applyAlignment="1">
      <alignment horizontal="center" vertical="center"/>
    </xf>
    <xf numFmtId="6" fontId="15" fillId="5" borderId="6" xfId="3" applyNumberFormat="1" applyFont="1" applyFill="1" applyBorder="1" applyAlignment="1">
      <alignment horizontal="center" vertical="center"/>
    </xf>
    <xf numFmtId="6" fontId="15" fillId="5" borderId="5" xfId="3" applyNumberFormat="1" applyFont="1" applyFill="1" applyBorder="1" applyAlignment="1">
      <alignment horizontal="center" vertical="center"/>
    </xf>
    <xf numFmtId="6" fontId="15" fillId="5" borderId="19" xfId="3" applyNumberFormat="1" applyFont="1" applyFill="1" applyBorder="1" applyAlignment="1">
      <alignment horizontal="center" vertical="center" wrapText="1"/>
    </xf>
    <xf numFmtId="6" fontId="15" fillId="3" borderId="5" xfId="2" applyNumberFormat="1" applyFont="1" applyFill="1" applyBorder="1" applyAlignment="1">
      <alignment horizontal="center" vertical="center"/>
    </xf>
    <xf numFmtId="6" fontId="15" fillId="3" borderId="18" xfId="3" applyNumberFormat="1" applyFont="1" applyFill="1" applyBorder="1" applyAlignment="1">
      <alignment horizontal="center" vertical="center"/>
    </xf>
    <xf numFmtId="6" fontId="15" fillId="5" borderId="18" xfId="3" applyNumberFormat="1" applyFont="1" applyFill="1" applyBorder="1" applyAlignment="1">
      <alignment horizontal="center" vertical="center" wrapText="1"/>
    </xf>
    <xf numFmtId="0" fontId="15" fillId="0" borderId="0" xfId="3" applyFont="1"/>
    <xf numFmtId="0" fontId="15" fillId="0" borderId="0" xfId="3" applyFont="1" applyAlignment="1">
      <alignment horizontal="center"/>
    </xf>
    <xf numFmtId="0" fontId="18" fillId="0" borderId="7" xfId="3" applyNumberFormat="1" applyFont="1" applyBorder="1" applyAlignment="1" applyProtection="1">
      <alignment horizontal="left"/>
      <protection locked="0"/>
    </xf>
    <xf numFmtId="0" fontId="15" fillId="0" borderId="7" xfId="3" applyNumberFormat="1" applyFont="1" applyBorder="1" applyAlignment="1" applyProtection="1">
      <alignment horizontal="left"/>
      <protection locked="0"/>
    </xf>
    <xf numFmtId="0" fontId="18" fillId="0" borderId="0" xfId="3" applyNumberFormat="1" applyFont="1" applyFill="1" applyBorder="1" applyAlignment="1" applyProtection="1">
      <alignment horizontal="left"/>
      <protection locked="0"/>
    </xf>
    <xf numFmtId="0" fontId="15" fillId="0" borderId="18" xfId="3" applyFont="1" applyBorder="1" applyAlignment="1">
      <alignment horizontal="center"/>
    </xf>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0" fontId="15" fillId="0" borderId="4" xfId="3" applyNumberFormat="1" applyFont="1" applyBorder="1" applyAlignment="1" applyProtection="1">
      <alignment horizontal="left"/>
      <protection locked="0"/>
    </xf>
    <xf numFmtId="0" fontId="15" fillId="0" borderId="0" xfId="3" applyFont="1" applyFill="1"/>
    <xf numFmtId="164" fontId="15" fillId="0" borderId="1" xfId="1" applyNumberFormat="1" applyFont="1" applyBorder="1"/>
    <xf numFmtId="164" fontId="15" fillId="3" borderId="0" xfId="1" applyNumberFormat="1" applyFont="1" applyFill="1" applyBorder="1"/>
    <xf numFmtId="164" fontId="15" fillId="0" borderId="0" xfId="1" applyNumberFormat="1" applyFont="1" applyBorder="1"/>
    <xf numFmtId="164" fontId="18" fillId="0" borderId="1" xfId="1" applyNumberFormat="1" applyFont="1" applyBorder="1" applyProtection="1">
      <protection locked="0"/>
    </xf>
    <xf numFmtId="164" fontId="18" fillId="3" borderId="0" xfId="1" applyNumberFormat="1" applyFont="1" applyFill="1" applyBorder="1" applyProtection="1">
      <protection locked="0"/>
    </xf>
    <xf numFmtId="164" fontId="18" fillId="0" borderId="0" xfId="1" applyNumberFormat="1" applyFont="1" applyBorder="1" applyProtection="1">
      <protection locked="0"/>
    </xf>
    <xf numFmtId="0" fontId="15" fillId="0" borderId="0" xfId="3" applyFont="1"/>
    <xf numFmtId="0" fontId="15" fillId="0" borderId="0" xfId="3" applyFont="1" applyAlignment="1">
      <alignment horizontal="center"/>
    </xf>
    <xf numFmtId="0" fontId="18" fillId="0" borderId="7" xfId="3" applyNumberFormat="1" applyFont="1" applyBorder="1" applyAlignment="1" applyProtection="1">
      <alignment horizontal="left"/>
      <protection locked="0"/>
    </xf>
    <xf numFmtId="0" fontId="15" fillId="0" borderId="7" xfId="3" applyNumberFormat="1" applyFont="1" applyBorder="1" applyAlignment="1" applyProtection="1">
      <alignment horizontal="left"/>
      <protection locked="0"/>
    </xf>
    <xf numFmtId="0" fontId="18" fillId="0" borderId="0" xfId="3" applyNumberFormat="1" applyFont="1" applyFill="1" applyBorder="1" applyAlignment="1" applyProtection="1">
      <alignment horizontal="left"/>
      <protection locked="0"/>
    </xf>
    <xf numFmtId="0" fontId="15" fillId="0" borderId="18" xfId="3" applyFont="1" applyBorder="1" applyAlignment="1">
      <alignment horizontal="center"/>
    </xf>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0" fontId="15" fillId="0" borderId="4" xfId="3" applyNumberFormat="1" applyFont="1" applyBorder="1" applyAlignment="1" applyProtection="1">
      <alignment horizontal="left"/>
      <protection locked="0"/>
    </xf>
    <xf numFmtId="0" fontId="15" fillId="0" borderId="0" xfId="3" applyFont="1" applyFill="1"/>
    <xf numFmtId="164" fontId="15" fillId="0" borderId="1" xfId="1" applyNumberFormat="1" applyFont="1" applyBorder="1"/>
    <xf numFmtId="164" fontId="15" fillId="3" borderId="0" xfId="1" applyNumberFormat="1" applyFont="1" applyFill="1" applyBorder="1"/>
    <xf numFmtId="164" fontId="15" fillId="0" borderId="0" xfId="1" applyNumberFormat="1" applyFont="1" applyBorder="1"/>
    <xf numFmtId="164" fontId="18" fillId="0" borderId="1" xfId="1" applyNumberFormat="1" applyFont="1" applyBorder="1" applyProtection="1">
      <protection locked="0"/>
    </xf>
    <xf numFmtId="164" fontId="18" fillId="3" borderId="0" xfId="1" applyNumberFormat="1" applyFont="1" applyFill="1" applyBorder="1" applyProtection="1">
      <protection locked="0"/>
    </xf>
    <xf numFmtId="164" fontId="18" fillId="0" borderId="0" xfId="1" applyNumberFormat="1" applyFont="1" applyBorder="1" applyProtection="1">
      <protection locked="0"/>
    </xf>
    <xf numFmtId="0" fontId="15" fillId="0" borderId="0" xfId="3" applyFont="1"/>
    <xf numFmtId="0" fontId="15" fillId="0" borderId="0" xfId="3" applyFont="1" applyAlignment="1">
      <alignment horizontal="center"/>
    </xf>
    <xf numFmtId="0" fontId="18" fillId="0" borderId="7" xfId="3" applyNumberFormat="1" applyFont="1" applyBorder="1" applyAlignment="1" applyProtection="1">
      <alignment horizontal="left"/>
      <protection locked="0"/>
    </xf>
    <xf numFmtId="0" fontId="15" fillId="0" borderId="7" xfId="3" applyNumberFormat="1" applyFont="1" applyBorder="1" applyAlignment="1" applyProtection="1">
      <alignment horizontal="left"/>
      <protection locked="0"/>
    </xf>
    <xf numFmtId="0" fontId="18" fillId="0" borderId="0" xfId="3" applyNumberFormat="1" applyFont="1" applyFill="1" applyBorder="1" applyAlignment="1" applyProtection="1">
      <alignment horizontal="left"/>
      <protection locked="0"/>
    </xf>
    <xf numFmtId="0" fontId="15" fillId="0" borderId="18" xfId="3" applyFont="1" applyBorder="1" applyAlignment="1">
      <alignment horizontal="center"/>
    </xf>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0" fontId="15" fillId="0" borderId="4" xfId="3" applyNumberFormat="1" applyFont="1" applyBorder="1" applyAlignment="1" applyProtection="1">
      <alignment horizontal="left"/>
      <protection locked="0"/>
    </xf>
    <xf numFmtId="0" fontId="15" fillId="0" borderId="0" xfId="3" applyFont="1" applyFill="1"/>
    <xf numFmtId="164" fontId="15" fillId="0" borderId="1" xfId="1" applyNumberFormat="1" applyFont="1" applyBorder="1"/>
    <xf numFmtId="164" fontId="15" fillId="3" borderId="0" xfId="1" applyNumberFormat="1" applyFont="1" applyFill="1" applyBorder="1"/>
    <xf numFmtId="164" fontId="15" fillId="0" borderId="0" xfId="1" applyNumberFormat="1" applyFont="1" applyBorder="1"/>
    <xf numFmtId="164" fontId="18" fillId="0" borderId="1" xfId="1" applyNumberFormat="1" applyFont="1" applyBorder="1" applyProtection="1">
      <protection locked="0"/>
    </xf>
    <xf numFmtId="164" fontId="18" fillId="3" borderId="0" xfId="1" applyNumberFormat="1" applyFont="1" applyFill="1" applyBorder="1" applyProtection="1">
      <protection locked="0"/>
    </xf>
    <xf numFmtId="164" fontId="18" fillId="0" borderId="0" xfId="1" applyNumberFormat="1" applyFont="1" applyBorder="1" applyProtection="1">
      <protection locked="0"/>
    </xf>
    <xf numFmtId="0" fontId="15" fillId="0" borderId="0" xfId="3" applyFont="1"/>
    <xf numFmtId="0" fontId="15" fillId="0" borderId="0" xfId="3" applyFont="1" applyAlignment="1">
      <alignment horizontal="center"/>
    </xf>
    <xf numFmtId="0" fontId="18" fillId="0" borderId="7" xfId="3" applyNumberFormat="1" applyFont="1" applyBorder="1" applyAlignment="1" applyProtection="1">
      <alignment horizontal="left"/>
      <protection locked="0"/>
    </xf>
    <xf numFmtId="0" fontId="15" fillId="0" borderId="7" xfId="3" applyNumberFormat="1" applyFont="1" applyBorder="1" applyAlignment="1" applyProtection="1">
      <alignment horizontal="left"/>
      <protection locked="0"/>
    </xf>
    <xf numFmtId="0" fontId="18" fillId="0" borderId="0" xfId="3" applyNumberFormat="1" applyFont="1" applyFill="1" applyBorder="1" applyAlignment="1" applyProtection="1">
      <alignment horizontal="left"/>
      <protection locked="0"/>
    </xf>
    <xf numFmtId="0" fontId="15" fillId="0" borderId="18" xfId="3" applyFont="1" applyBorder="1" applyAlignment="1">
      <alignment horizontal="center"/>
    </xf>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0" fontId="15" fillId="0" borderId="4" xfId="3" applyNumberFormat="1" applyFont="1" applyBorder="1" applyAlignment="1" applyProtection="1">
      <alignment horizontal="left"/>
      <protection locked="0"/>
    </xf>
    <xf numFmtId="0" fontId="15" fillId="0" borderId="0" xfId="3" applyFont="1" applyFill="1"/>
    <xf numFmtId="164" fontId="15" fillId="0" borderId="1" xfId="1" applyNumberFormat="1" applyFont="1" applyBorder="1"/>
    <xf numFmtId="164" fontId="15" fillId="3" borderId="0" xfId="1" applyNumberFormat="1" applyFont="1" applyFill="1" applyBorder="1"/>
    <xf numFmtId="164" fontId="15" fillId="0" borderId="0" xfId="1" applyNumberFormat="1" applyFont="1" applyBorder="1"/>
    <xf numFmtId="164" fontId="18" fillId="0" borderId="1" xfId="1" applyNumberFormat="1" applyFont="1" applyBorder="1" applyProtection="1">
      <protection locked="0"/>
    </xf>
    <xf numFmtId="164" fontId="18" fillId="3" borderId="0" xfId="1" applyNumberFormat="1" applyFont="1" applyFill="1" applyBorder="1" applyProtection="1">
      <protection locked="0"/>
    </xf>
    <xf numFmtId="164" fontId="18" fillId="0" borderId="0" xfId="1" applyNumberFormat="1" applyFont="1" applyBorder="1" applyProtection="1">
      <protection locked="0"/>
    </xf>
    <xf numFmtId="0" fontId="15" fillId="0" borderId="0" xfId="3" applyFont="1"/>
    <xf numFmtId="0" fontId="15" fillId="0" borderId="0" xfId="3" applyFont="1" applyAlignment="1">
      <alignment horizontal="center"/>
    </xf>
    <xf numFmtId="0" fontId="18" fillId="0" borderId="7" xfId="3" applyNumberFormat="1" applyFont="1" applyBorder="1" applyAlignment="1" applyProtection="1">
      <alignment horizontal="left"/>
      <protection locked="0"/>
    </xf>
    <xf numFmtId="0" fontId="15" fillId="0" borderId="7" xfId="3" applyNumberFormat="1" applyFont="1" applyBorder="1" applyAlignment="1" applyProtection="1">
      <alignment horizontal="left"/>
      <protection locked="0"/>
    </xf>
    <xf numFmtId="0" fontId="18" fillId="0" borderId="0" xfId="3" applyNumberFormat="1" applyFont="1" applyFill="1" applyBorder="1" applyAlignment="1" applyProtection="1">
      <alignment horizontal="left"/>
      <protection locked="0"/>
    </xf>
    <xf numFmtId="0" fontId="15" fillId="0" borderId="18" xfId="3" applyFont="1" applyBorder="1" applyAlignment="1">
      <alignment horizontal="center"/>
    </xf>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0" fontId="15" fillId="0" borderId="4" xfId="3" applyNumberFormat="1" applyFont="1" applyBorder="1" applyAlignment="1" applyProtection="1">
      <alignment horizontal="left"/>
      <protection locked="0"/>
    </xf>
    <xf numFmtId="0" fontId="15" fillId="0" borderId="0" xfId="3" applyFont="1" applyFill="1"/>
    <xf numFmtId="164" fontId="15" fillId="0" borderId="1" xfId="1" applyNumberFormat="1" applyFont="1" applyBorder="1"/>
    <xf numFmtId="164" fontId="15" fillId="3" borderId="0" xfId="1" applyNumberFormat="1" applyFont="1" applyFill="1" applyBorder="1"/>
    <xf numFmtId="164" fontId="15" fillId="0" borderId="0" xfId="1" applyNumberFormat="1" applyFont="1" applyBorder="1"/>
    <xf numFmtId="164" fontId="18" fillId="0" borderId="1" xfId="1" applyNumberFormat="1" applyFont="1" applyBorder="1" applyProtection="1">
      <protection locked="0"/>
    </xf>
    <xf numFmtId="164" fontId="18" fillId="3" borderId="0" xfId="1" applyNumberFormat="1" applyFont="1" applyFill="1" applyBorder="1" applyProtection="1">
      <protection locked="0"/>
    </xf>
    <xf numFmtId="164" fontId="18" fillId="0" borderId="0" xfId="1" applyNumberFormat="1" applyFont="1" applyBorder="1" applyProtection="1">
      <protection locked="0"/>
    </xf>
    <xf numFmtId="0" fontId="18" fillId="0" borderId="0" xfId="3" applyNumberFormat="1" applyFont="1" applyFill="1" applyBorder="1" applyAlignment="1" applyProtection="1">
      <alignment horizontal="left"/>
      <protection locked="0"/>
    </xf>
    <xf numFmtId="0" fontId="15" fillId="0" borderId="0" xfId="3" applyFont="1" applyFill="1"/>
    <xf numFmtId="164" fontId="18" fillId="0" borderId="1" xfId="1" applyNumberFormat="1" applyFont="1" applyBorder="1" applyProtection="1">
      <protection locked="0"/>
    </xf>
    <xf numFmtId="164" fontId="18" fillId="3" borderId="0" xfId="1" applyNumberFormat="1" applyFont="1" applyFill="1" applyBorder="1" applyProtection="1">
      <protection locked="0"/>
    </xf>
    <xf numFmtId="164" fontId="18" fillId="0" borderId="0" xfId="1" applyNumberFormat="1" applyFont="1" applyBorder="1" applyProtection="1">
      <protection locked="0"/>
    </xf>
    <xf numFmtId="6" fontId="15" fillId="0" borderId="0" xfId="3" applyNumberFormat="1" applyFont="1" applyBorder="1" applyAlignment="1">
      <alignment horizontal="center" vertical="center"/>
    </xf>
    <xf numFmtId="0" fontId="15" fillId="0" borderId="0" xfId="3" applyFont="1"/>
    <xf numFmtId="0" fontId="15" fillId="0" borderId="0" xfId="3" applyFont="1" applyAlignment="1">
      <alignment horizontal="center"/>
    </xf>
    <xf numFmtId="0" fontId="18" fillId="0" borderId="7" xfId="3" applyNumberFormat="1" applyFont="1" applyBorder="1" applyAlignment="1" applyProtection="1">
      <alignment horizontal="left"/>
      <protection locked="0"/>
    </xf>
    <xf numFmtId="0" fontId="15" fillId="0" borderId="18" xfId="3" applyFont="1" applyBorder="1" applyAlignment="1">
      <alignment horizontal="center"/>
    </xf>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0" fontId="15" fillId="0" borderId="4" xfId="3" applyNumberFormat="1" applyFont="1" applyBorder="1" applyAlignment="1" applyProtection="1">
      <alignment horizontal="left"/>
      <protection locked="0"/>
    </xf>
    <xf numFmtId="164" fontId="15" fillId="0" borderId="1" xfId="1" applyNumberFormat="1" applyFont="1" applyBorder="1"/>
    <xf numFmtId="164" fontId="15" fillId="3" borderId="0" xfId="1" applyNumberFormat="1" applyFont="1" applyFill="1" applyBorder="1"/>
    <xf numFmtId="164" fontId="15" fillId="0" borderId="0" xfId="1" applyNumberFormat="1" applyFont="1" applyBorder="1"/>
    <xf numFmtId="164" fontId="18" fillId="3" borderId="0" xfId="1" applyNumberFormat="1" applyFont="1" applyFill="1" applyBorder="1" applyProtection="1">
      <protection locked="0"/>
    </xf>
    <xf numFmtId="164" fontId="18" fillId="3" borderId="3" xfId="1" applyNumberFormat="1" applyFont="1" applyFill="1" applyBorder="1" applyProtection="1">
      <protection locked="0"/>
    </xf>
    <xf numFmtId="164" fontId="15" fillId="3" borderId="5" xfId="1" applyNumberFormat="1" applyFont="1" applyFill="1" applyBorder="1"/>
    <xf numFmtId="164" fontId="15" fillId="0" borderId="0" xfId="1" applyNumberFormat="1" applyFont="1" applyBorder="1" applyProtection="1">
      <protection locked="0"/>
    </xf>
    <xf numFmtId="5" fontId="18" fillId="3" borderId="0" xfId="7" applyNumberFormat="1" applyFont="1" applyFill="1" applyBorder="1" applyProtection="1">
      <protection locked="0"/>
    </xf>
    <xf numFmtId="165" fontId="18" fillId="0" borderId="1" xfId="7" applyNumberFormat="1" applyFont="1" applyBorder="1" applyProtection="1">
      <protection locked="0"/>
    </xf>
    <xf numFmtId="165" fontId="18" fillId="0" borderId="0" xfId="7" applyNumberFormat="1" applyFont="1" applyBorder="1" applyProtection="1">
      <protection locked="0"/>
    </xf>
    <xf numFmtId="0" fontId="15" fillId="0" borderId="14" xfId="3" applyNumberFormat="1" applyFont="1" applyBorder="1" applyAlignment="1" applyProtection="1">
      <alignment horizontal="center"/>
      <protection locked="0"/>
    </xf>
    <xf numFmtId="0" fontId="15" fillId="3" borderId="5" xfId="3" applyFont="1" applyFill="1" applyBorder="1" applyAlignment="1">
      <alignment horizontal="center"/>
    </xf>
    <xf numFmtId="0" fontId="15" fillId="0" borderId="5" xfId="3" applyNumberFormat="1" applyFont="1" applyBorder="1" applyAlignment="1" applyProtection="1">
      <alignment horizontal="center"/>
      <protection locked="0"/>
    </xf>
    <xf numFmtId="38" fontId="15" fillId="0" borderId="5" xfId="3" applyNumberFormat="1" applyFont="1" applyBorder="1" applyAlignment="1" applyProtection="1">
      <alignment horizontal="center"/>
      <protection locked="0"/>
    </xf>
    <xf numFmtId="0" fontId="15" fillId="0" borderId="5" xfId="3" applyFont="1" applyBorder="1" applyAlignment="1">
      <alignment horizontal="center"/>
    </xf>
    <xf numFmtId="0" fontId="15" fillId="5" borderId="5" xfId="3" applyFont="1" applyFill="1" applyBorder="1" applyAlignment="1">
      <alignment horizontal="center"/>
    </xf>
    <xf numFmtId="0" fontId="15" fillId="5" borderId="6" xfId="3" applyFont="1" applyFill="1" applyBorder="1" applyAlignment="1">
      <alignment horizontal="center"/>
    </xf>
    <xf numFmtId="0" fontId="15" fillId="0" borderId="4" xfId="3" applyFont="1" applyFill="1" applyBorder="1" applyAlignment="1">
      <alignment horizontal="center"/>
    </xf>
    <xf numFmtId="0" fontId="15" fillId="3" borderId="5" xfId="3" applyFont="1" applyFill="1" applyBorder="1" applyAlignment="1">
      <alignment horizontal="centerContinuous"/>
    </xf>
    <xf numFmtId="0" fontId="15" fillId="0" borderId="5" xfId="3" applyFont="1" applyFill="1" applyBorder="1" applyAlignment="1">
      <alignment horizontal="center"/>
    </xf>
    <xf numFmtId="0" fontId="15" fillId="0" borderId="6" xfId="3" applyFont="1" applyFill="1" applyBorder="1" applyAlignment="1">
      <alignment horizontal="center"/>
    </xf>
    <xf numFmtId="0" fontId="15" fillId="0" borderId="9" xfId="3" applyFont="1" applyBorder="1" applyAlignment="1">
      <alignment horizontal="center"/>
    </xf>
    <xf numFmtId="0" fontId="15" fillId="0" borderId="15" xfId="3" applyNumberFormat="1" applyFont="1" applyBorder="1" applyAlignment="1" applyProtection="1">
      <alignment horizontal="center"/>
      <protection locked="0"/>
    </xf>
    <xf numFmtId="0" fontId="15" fillId="3" borderId="2" xfId="3" applyFont="1" applyFill="1" applyBorder="1" applyAlignment="1">
      <alignment horizontal="center"/>
    </xf>
    <xf numFmtId="0" fontId="15" fillId="0" borderId="2" xfId="3" applyNumberFormat="1" applyFont="1" applyBorder="1" applyAlignment="1" applyProtection="1">
      <alignment horizontal="center"/>
      <protection locked="0"/>
    </xf>
    <xf numFmtId="38" fontId="15" fillId="0" borderId="2" xfId="3" applyNumberFormat="1" applyFont="1" applyBorder="1" applyAlignment="1" applyProtection="1">
      <alignment horizontal="center"/>
      <protection locked="0"/>
    </xf>
    <xf numFmtId="0" fontId="15" fillId="0" borderId="2" xfId="3" applyFont="1" applyBorder="1" applyAlignment="1">
      <alignment horizontal="center"/>
    </xf>
    <xf numFmtId="0" fontId="15" fillId="5" borderId="2" xfId="3" applyFont="1" applyFill="1" applyBorder="1" applyAlignment="1">
      <alignment horizontal="center"/>
    </xf>
    <xf numFmtId="0" fontId="15" fillId="5" borderId="10" xfId="3" applyFont="1" applyFill="1" applyBorder="1" applyAlignment="1">
      <alignment horizontal="center"/>
    </xf>
    <xf numFmtId="0" fontId="15" fillId="0" borderId="9" xfId="3" applyFont="1" applyFill="1" applyBorder="1" applyAlignment="1">
      <alignment horizontal="center"/>
    </xf>
    <xf numFmtId="0" fontId="15" fillId="3" borderId="2" xfId="3" applyFont="1" applyFill="1" applyBorder="1"/>
    <xf numFmtId="0" fontId="15" fillId="0" borderId="2" xfId="3" applyFont="1" applyFill="1" applyBorder="1" applyAlignment="1">
      <alignment horizontal="center"/>
    </xf>
    <xf numFmtId="0" fontId="15" fillId="0" borderId="10" xfId="3" applyFont="1" applyFill="1" applyBorder="1" applyAlignment="1">
      <alignment horizontal="center"/>
    </xf>
    <xf numFmtId="0" fontId="15" fillId="0" borderId="6" xfId="3" applyFont="1" applyBorder="1"/>
    <xf numFmtId="6" fontId="15" fillId="0" borderId="0" xfId="3" applyNumberFormat="1" applyFont="1" applyFill="1" applyBorder="1" applyAlignment="1">
      <alignment horizontal="center" vertical="center"/>
    </xf>
    <xf numFmtId="6" fontId="18" fillId="0" borderId="0" xfId="2" applyNumberFormat="1" applyFont="1" applyFill="1" applyBorder="1" applyAlignment="1" applyProtection="1">
      <alignment horizontal="center" vertical="center"/>
      <protection locked="0"/>
    </xf>
    <xf numFmtId="6" fontId="18" fillId="5" borderId="0" xfId="1" applyNumberFormat="1" applyFont="1" applyFill="1" applyBorder="1" applyAlignment="1">
      <alignment horizontal="center" vertical="center"/>
    </xf>
    <xf numFmtId="6" fontId="18" fillId="3" borderId="0" xfId="1" applyNumberFormat="1" applyFont="1" applyFill="1" applyBorder="1" applyAlignment="1">
      <alignment horizontal="center" vertical="center"/>
    </xf>
    <xf numFmtId="6" fontId="18" fillId="5" borderId="8" xfId="1" applyNumberFormat="1" applyFont="1" applyFill="1" applyBorder="1" applyAlignment="1">
      <alignment horizontal="center" vertical="center"/>
    </xf>
    <xf numFmtId="165" fontId="15" fillId="0" borderId="15" xfId="7" applyNumberFormat="1" applyFont="1" applyBorder="1" applyProtection="1">
      <protection locked="0"/>
    </xf>
    <xf numFmtId="5" fontId="15" fillId="3" borderId="2" xfId="7" applyNumberFormat="1" applyFont="1" applyFill="1" applyBorder="1" applyProtection="1">
      <protection locked="0"/>
    </xf>
    <xf numFmtId="165" fontId="15" fillId="0" borderId="2" xfId="7" applyNumberFormat="1" applyFont="1" applyBorder="1" applyProtection="1">
      <protection locked="0"/>
    </xf>
    <xf numFmtId="6" fontId="15" fillId="5" borderId="2" xfId="1" applyNumberFormat="1" applyFont="1" applyFill="1" applyBorder="1" applyAlignment="1">
      <alignment horizontal="center" vertical="center"/>
    </xf>
    <xf numFmtId="6" fontId="15" fillId="3" borderId="2" xfId="1" applyNumberFormat="1" applyFont="1" applyFill="1" applyBorder="1" applyAlignment="1">
      <alignment horizontal="center" vertical="center"/>
    </xf>
    <xf numFmtId="6" fontId="15" fillId="5" borderId="10" xfId="1" applyNumberFormat="1" applyFont="1" applyFill="1" applyBorder="1" applyAlignment="1">
      <alignment horizontal="center" vertical="center"/>
    </xf>
    <xf numFmtId="37" fontId="18" fillId="0" borderId="8" xfId="12" applyNumberFormat="1" applyFont="1" applyBorder="1" applyAlignment="1">
      <alignment horizontal="right"/>
    </xf>
    <xf numFmtId="0" fontId="18" fillId="0" borderId="28" xfId="3" applyNumberFormat="1" applyFont="1" applyBorder="1" applyAlignment="1" applyProtection="1">
      <alignment horizontal="left"/>
      <protection locked="0"/>
    </xf>
    <xf numFmtId="0" fontId="18" fillId="3" borderId="0" xfId="3" applyFont="1" applyFill="1" applyBorder="1"/>
    <xf numFmtId="165" fontId="18" fillId="3" borderId="2" xfId="12" applyNumberFormat="1" applyFont="1" applyFill="1" applyBorder="1" applyProtection="1">
      <protection locked="0"/>
    </xf>
    <xf numFmtId="37" fontId="18" fillId="0" borderId="10" xfId="12" applyNumberFormat="1" applyFont="1" applyBorder="1" applyAlignment="1" applyProtection="1">
      <alignment horizontal="right"/>
      <protection locked="0"/>
    </xf>
    <xf numFmtId="37" fontId="18" fillId="0" borderId="8" xfId="12" applyNumberFormat="1" applyFont="1" applyBorder="1" applyProtection="1">
      <protection locked="0"/>
    </xf>
    <xf numFmtId="167" fontId="18" fillId="0" borderId="8" xfId="12" applyNumberFormat="1" applyFont="1" applyBorder="1" applyAlignment="1" applyProtection="1">
      <alignment horizontal="right"/>
      <protection locked="0"/>
    </xf>
    <xf numFmtId="37" fontId="18" fillId="0" borderId="2" xfId="12" applyNumberFormat="1" applyFont="1" applyBorder="1" applyAlignment="1" applyProtection="1">
      <alignment horizontal="right"/>
      <protection locked="0"/>
    </xf>
    <xf numFmtId="37" fontId="18" fillId="0" borderId="8" xfId="12" applyNumberFormat="1" applyFont="1" applyBorder="1" applyAlignment="1">
      <alignment horizontal="center"/>
    </xf>
    <xf numFmtId="168" fontId="18" fillId="0" borderId="10" xfId="12" applyNumberFormat="1" applyFont="1" applyBorder="1" applyAlignment="1">
      <alignment horizontal="center"/>
    </xf>
    <xf numFmtId="37" fontId="18" fillId="0" borderId="15" xfId="12" applyNumberFormat="1" applyFont="1" applyBorder="1" applyAlignment="1" applyProtection="1">
      <alignment horizontal="right"/>
      <protection locked="0"/>
    </xf>
    <xf numFmtId="37" fontId="18" fillId="3" borderId="2" xfId="12" applyNumberFormat="1" applyFont="1" applyFill="1" applyBorder="1" applyProtection="1">
      <protection locked="0"/>
    </xf>
    <xf numFmtId="169" fontId="18" fillId="0" borderId="8" xfId="3" applyNumberFormat="1" applyFont="1" applyBorder="1"/>
    <xf numFmtId="167" fontId="18" fillId="0" borderId="10" xfId="12" applyNumberFormat="1" applyFont="1" applyBorder="1" applyAlignment="1">
      <alignment horizontal="center"/>
    </xf>
    <xf numFmtId="167" fontId="18" fillId="0" borderId="8" xfId="12" applyNumberFormat="1" applyFont="1" applyBorder="1" applyProtection="1">
      <protection locked="0"/>
    </xf>
    <xf numFmtId="169" fontId="18" fillId="0" borderId="0" xfId="3" applyNumberFormat="1" applyFont="1" applyBorder="1"/>
    <xf numFmtId="167" fontId="18" fillId="0" borderId="12" xfId="12" applyNumberFormat="1" applyFont="1" applyBorder="1" applyAlignment="1" applyProtection="1">
      <alignment horizontal="right"/>
      <protection locked="0"/>
    </xf>
    <xf numFmtId="0" fontId="16" fillId="0" borderId="4" xfId="3" applyFont="1" applyBorder="1" applyAlignment="1">
      <alignment horizontal="left"/>
    </xf>
    <xf numFmtId="0" fontId="18" fillId="0" borderId="7" xfId="3" applyNumberFormat="1" applyFont="1" applyBorder="1" applyAlignment="1" applyProtection="1">
      <alignment horizontal="left"/>
      <protection locked="0"/>
    </xf>
    <xf numFmtId="37" fontId="18" fillId="0" borderId="1" xfId="12" applyNumberFormat="1" applyFont="1" applyBorder="1" applyProtection="1">
      <protection locked="0"/>
    </xf>
    <xf numFmtId="37" fontId="18" fillId="3" borderId="0" xfId="12" applyNumberFormat="1" applyFont="1" applyFill="1" applyBorder="1" applyProtection="1">
      <protection locked="0"/>
    </xf>
    <xf numFmtId="0" fontId="18" fillId="0" borderId="7" xfId="3" applyFont="1" applyBorder="1" applyAlignment="1">
      <alignment horizontal="left"/>
    </xf>
    <xf numFmtId="37" fontId="18" fillId="0" borderId="1" xfId="12" applyNumberFormat="1" applyFont="1" applyBorder="1" applyAlignment="1" applyProtection="1">
      <alignment horizontal="right"/>
      <protection locked="0"/>
    </xf>
    <xf numFmtId="0" fontId="18" fillId="3" borderId="7" xfId="3" applyFont="1" applyFill="1" applyBorder="1" applyAlignment="1">
      <alignment horizontal="left"/>
    </xf>
    <xf numFmtId="167" fontId="18" fillId="0" borderId="1" xfId="12" applyNumberFormat="1" applyFont="1" applyBorder="1" applyProtection="1">
      <protection locked="0"/>
    </xf>
    <xf numFmtId="167" fontId="18" fillId="3" borderId="0" xfId="12" applyNumberFormat="1" applyFont="1" applyFill="1" applyBorder="1" applyProtection="1">
      <protection locked="0"/>
    </xf>
    <xf numFmtId="167" fontId="18" fillId="0" borderId="1" xfId="12" applyNumberFormat="1" applyFont="1" applyBorder="1" applyAlignment="1" applyProtection="1">
      <alignment horizontal="right"/>
      <protection locked="0"/>
    </xf>
    <xf numFmtId="167" fontId="18" fillId="0" borderId="16" xfId="12" applyNumberFormat="1" applyFont="1" applyBorder="1" applyAlignment="1" applyProtection="1">
      <alignment horizontal="right"/>
      <protection locked="0"/>
    </xf>
    <xf numFmtId="167" fontId="18" fillId="3" borderId="3" xfId="12" applyNumberFormat="1" applyFont="1" applyFill="1" applyBorder="1" applyProtection="1">
      <protection locked="0"/>
    </xf>
    <xf numFmtId="0" fontId="15" fillId="0" borderId="7" xfId="3" applyFont="1" applyBorder="1" applyAlignment="1">
      <alignment horizontal="left"/>
    </xf>
    <xf numFmtId="37" fontId="18" fillId="0" borderId="1" xfId="12" applyNumberFormat="1" applyFont="1" applyBorder="1" applyAlignment="1" applyProtection="1">
      <alignment horizontal="center"/>
      <protection locked="0"/>
    </xf>
    <xf numFmtId="37" fontId="18" fillId="3" borderId="0" xfId="12" applyNumberFormat="1" applyFont="1" applyFill="1" applyBorder="1"/>
    <xf numFmtId="37" fontId="18" fillId="0" borderId="0" xfId="12" applyNumberFormat="1" applyFont="1" applyBorder="1" applyAlignment="1" applyProtection="1">
      <alignment horizontal="center"/>
      <protection locked="0"/>
    </xf>
    <xf numFmtId="0" fontId="18" fillId="0" borderId="9" xfId="3" applyFont="1" applyBorder="1" applyAlignment="1">
      <alignment horizontal="left"/>
    </xf>
    <xf numFmtId="167" fontId="18" fillId="0" borderId="15" xfId="12" applyNumberFormat="1" applyFont="1" applyBorder="1" applyAlignment="1" applyProtection="1">
      <alignment horizontal="center"/>
      <protection locked="0"/>
    </xf>
    <xf numFmtId="167" fontId="18" fillId="0" borderId="2" xfId="12" applyNumberFormat="1" applyFont="1" applyFill="1" applyBorder="1" applyAlignment="1" applyProtection="1">
      <alignment horizontal="center"/>
      <protection locked="0"/>
    </xf>
    <xf numFmtId="167" fontId="18" fillId="3" borderId="2" xfId="12" applyNumberFormat="1" applyFont="1" applyFill="1" applyBorder="1"/>
    <xf numFmtId="167" fontId="18" fillId="0" borderId="2" xfId="12" applyNumberFormat="1" applyFont="1" applyBorder="1" applyAlignment="1" applyProtection="1">
      <alignment horizontal="center"/>
      <protection locked="0"/>
    </xf>
    <xf numFmtId="165" fontId="15" fillId="3" borderId="0" xfId="12" applyNumberFormat="1" applyFont="1" applyFill="1" applyBorder="1"/>
    <xf numFmtId="37" fontId="18" fillId="0" borderId="0" xfId="12" applyNumberFormat="1" applyFont="1" applyBorder="1" applyProtection="1">
      <protection locked="0"/>
    </xf>
    <xf numFmtId="165" fontId="18" fillId="3" borderId="0" xfId="12" applyNumberFormat="1" applyFont="1" applyFill="1" applyBorder="1" applyProtection="1">
      <protection locked="0"/>
    </xf>
    <xf numFmtId="37" fontId="18" fillId="0" borderId="0" xfId="12" applyNumberFormat="1" applyFont="1" applyBorder="1" applyAlignment="1" applyProtection="1">
      <alignment horizontal="right"/>
      <protection locked="0"/>
    </xf>
    <xf numFmtId="165" fontId="18" fillId="3" borderId="3" xfId="12" applyNumberFormat="1" applyFont="1" applyFill="1" applyBorder="1" applyProtection="1">
      <protection locked="0"/>
    </xf>
    <xf numFmtId="167" fontId="18" fillId="0" borderId="0" xfId="12" applyNumberFormat="1" applyFont="1" applyBorder="1" applyProtection="1">
      <protection locked="0"/>
    </xf>
    <xf numFmtId="167" fontId="18" fillId="0" borderId="0" xfId="12" applyNumberFormat="1" applyFont="1" applyBorder="1" applyAlignment="1" applyProtection="1">
      <alignment horizontal="right"/>
      <protection locked="0"/>
    </xf>
    <xf numFmtId="167" fontId="18" fillId="0" borderId="3" xfId="12" applyNumberFormat="1" applyFont="1" applyBorder="1" applyAlignment="1" applyProtection="1">
      <alignment horizontal="right"/>
      <protection locked="0"/>
    </xf>
    <xf numFmtId="37" fontId="18" fillId="0" borderId="0" xfId="12" applyNumberFormat="1" applyFont="1" applyBorder="1" applyAlignment="1">
      <alignment horizontal="center"/>
    </xf>
    <xf numFmtId="167" fontId="18" fillId="0" borderId="2" xfId="12" applyNumberFormat="1" applyFont="1" applyBorder="1" applyAlignment="1">
      <alignment horizontal="center"/>
    </xf>
    <xf numFmtId="165" fontId="15" fillId="3" borderId="2" xfId="12" applyNumberFormat="1" applyFont="1" applyFill="1" applyBorder="1"/>
    <xf numFmtId="37" fontId="18" fillId="0" borderId="12" xfId="12" applyNumberFormat="1" applyFont="1" applyBorder="1" applyAlignment="1" applyProtection="1">
      <alignment horizontal="right"/>
      <protection locked="0"/>
    </xf>
    <xf numFmtId="0" fontId="15" fillId="0" borderId="0" xfId="3" applyFont="1"/>
    <xf numFmtId="0" fontId="15" fillId="0" borderId="14" xfId="3" applyNumberFormat="1" applyFont="1" applyBorder="1" applyAlignment="1" applyProtection="1">
      <alignment horizontal="center"/>
      <protection locked="0"/>
    </xf>
    <xf numFmtId="0" fontId="15" fillId="3" borderId="5" xfId="3" applyFont="1" applyFill="1" applyBorder="1" applyAlignment="1">
      <alignment horizontal="center"/>
    </xf>
    <xf numFmtId="0" fontId="15" fillId="0" borderId="5" xfId="3" applyNumberFormat="1" applyFont="1" applyBorder="1" applyAlignment="1" applyProtection="1">
      <alignment horizontal="center"/>
      <protection locked="0"/>
    </xf>
    <xf numFmtId="38" fontId="15" fillId="0" borderId="5" xfId="3" applyNumberFormat="1" applyFont="1" applyBorder="1" applyAlignment="1" applyProtection="1">
      <alignment horizontal="center"/>
      <protection locked="0"/>
    </xf>
    <xf numFmtId="0" fontId="15" fillId="0" borderId="5" xfId="3" applyFont="1" applyBorder="1" applyAlignment="1">
      <alignment horizontal="center"/>
    </xf>
    <xf numFmtId="0" fontId="15" fillId="5" borderId="5" xfId="3" applyFont="1" applyFill="1" applyBorder="1" applyAlignment="1">
      <alignment horizontal="center"/>
    </xf>
    <xf numFmtId="0" fontId="15" fillId="0" borderId="5" xfId="3" applyFont="1" applyFill="1" applyBorder="1" applyAlignment="1">
      <alignment horizontal="center"/>
    </xf>
    <xf numFmtId="0" fontId="15" fillId="3" borderId="5" xfId="3" applyFont="1" applyFill="1" applyBorder="1" applyAlignment="1">
      <alignment horizontal="centerContinuous"/>
    </xf>
    <xf numFmtId="0" fontId="15" fillId="0" borderId="6" xfId="3" applyFont="1" applyFill="1" applyBorder="1" applyAlignment="1">
      <alignment horizontal="center"/>
    </xf>
    <xf numFmtId="0" fontId="15" fillId="0" borderId="0" xfId="3" applyFont="1" applyAlignment="1">
      <alignment horizontal="center"/>
    </xf>
    <xf numFmtId="0" fontId="15" fillId="0" borderId="9" xfId="3" applyFont="1" applyBorder="1" applyAlignment="1">
      <alignment horizontal="center"/>
    </xf>
    <xf numFmtId="0" fontId="15" fillId="0" borderId="15" xfId="3" applyNumberFormat="1" applyFont="1" applyBorder="1" applyAlignment="1" applyProtection="1">
      <alignment horizontal="center"/>
      <protection locked="0"/>
    </xf>
    <xf numFmtId="0" fontId="15" fillId="3" borderId="2" xfId="3" applyFont="1" applyFill="1" applyBorder="1" applyAlignment="1">
      <alignment horizontal="center"/>
    </xf>
    <xf numFmtId="0" fontId="15" fillId="0" borderId="2" xfId="3" applyNumberFormat="1" applyFont="1" applyBorder="1" applyAlignment="1" applyProtection="1">
      <alignment horizontal="center"/>
      <protection locked="0"/>
    </xf>
    <xf numFmtId="38" fontId="15" fillId="0" borderId="2" xfId="3" applyNumberFormat="1" applyFont="1" applyBorder="1" applyAlignment="1" applyProtection="1">
      <alignment horizontal="center"/>
      <protection locked="0"/>
    </xf>
    <xf numFmtId="0" fontId="15" fillId="0" borderId="2" xfId="3" applyFont="1" applyBorder="1" applyAlignment="1">
      <alignment horizontal="center"/>
    </xf>
    <xf numFmtId="0" fontId="15" fillId="5" borderId="2" xfId="3" applyFont="1" applyFill="1" applyBorder="1" applyAlignment="1">
      <alignment horizontal="center"/>
    </xf>
    <xf numFmtId="0" fontId="15" fillId="0" borderId="2" xfId="3" applyFont="1" applyFill="1" applyBorder="1" applyAlignment="1">
      <alignment horizontal="center"/>
    </xf>
    <xf numFmtId="0" fontId="15" fillId="3" borderId="2" xfId="3" applyFont="1" applyFill="1" applyBorder="1"/>
    <xf numFmtId="0" fontId="15" fillId="0" borderId="10" xfId="3" applyFont="1" applyFill="1" applyBorder="1" applyAlignment="1">
      <alignment horizontal="center"/>
    </xf>
    <xf numFmtId="3" fontId="18" fillId="0" borderId="8" xfId="12" applyNumberFormat="1" applyFont="1" applyBorder="1" applyProtection="1">
      <protection locked="0"/>
    </xf>
    <xf numFmtId="0" fontId="15" fillId="0" borderId="0" xfId="3" applyFont="1"/>
    <xf numFmtId="0" fontId="15" fillId="0" borderId="14" xfId="3" applyNumberFormat="1" applyFont="1" applyBorder="1" applyAlignment="1" applyProtection="1">
      <alignment horizontal="center"/>
      <protection locked="0"/>
    </xf>
    <xf numFmtId="0" fontId="15" fillId="3" borderId="5" xfId="3" applyFont="1" applyFill="1" applyBorder="1" applyAlignment="1">
      <alignment horizontal="center"/>
    </xf>
    <xf numFmtId="0" fontId="15" fillId="0" borderId="5" xfId="3" applyNumberFormat="1" applyFont="1" applyBorder="1" applyAlignment="1" applyProtection="1">
      <alignment horizontal="center"/>
      <protection locked="0"/>
    </xf>
    <xf numFmtId="38" fontId="15" fillId="0" borderId="5" xfId="3" applyNumberFormat="1" applyFont="1" applyBorder="1" applyAlignment="1" applyProtection="1">
      <alignment horizontal="center"/>
      <protection locked="0"/>
    </xf>
    <xf numFmtId="0" fontId="15" fillId="0" borderId="5" xfId="3" applyFont="1" applyBorder="1" applyAlignment="1">
      <alignment horizontal="center"/>
    </xf>
    <xf numFmtId="0" fontId="15" fillId="5" borderId="5" xfId="3" applyFont="1" applyFill="1" applyBorder="1" applyAlignment="1">
      <alignment horizontal="center"/>
    </xf>
    <xf numFmtId="0" fontId="15" fillId="0" borderId="5" xfId="3" applyFont="1" applyFill="1" applyBorder="1" applyAlignment="1">
      <alignment horizontal="center"/>
    </xf>
    <xf numFmtId="0" fontId="15" fillId="3" borderId="5" xfId="3" applyFont="1" applyFill="1" applyBorder="1" applyAlignment="1">
      <alignment horizontal="centerContinuous"/>
    </xf>
    <xf numFmtId="0" fontId="15" fillId="0" borderId="6" xfId="3" applyFont="1" applyFill="1" applyBorder="1" applyAlignment="1">
      <alignment horizontal="center"/>
    </xf>
    <xf numFmtId="0" fontId="15" fillId="0" borderId="0" xfId="3" applyFont="1" applyAlignment="1">
      <alignment horizontal="center"/>
    </xf>
    <xf numFmtId="0" fontId="15" fillId="0" borderId="9" xfId="3" applyFont="1" applyBorder="1" applyAlignment="1">
      <alignment horizontal="center"/>
    </xf>
    <xf numFmtId="0" fontId="15" fillId="0" borderId="15" xfId="3" applyNumberFormat="1" applyFont="1" applyBorder="1" applyAlignment="1" applyProtection="1">
      <alignment horizontal="center"/>
      <protection locked="0"/>
    </xf>
    <xf numFmtId="0" fontId="15" fillId="3" borderId="2" xfId="3" applyFont="1" applyFill="1" applyBorder="1" applyAlignment="1">
      <alignment horizontal="center"/>
    </xf>
    <xf numFmtId="0" fontId="15" fillId="0" borderId="2" xfId="3" applyNumberFormat="1" applyFont="1" applyBorder="1" applyAlignment="1" applyProtection="1">
      <alignment horizontal="center"/>
      <protection locked="0"/>
    </xf>
    <xf numFmtId="38" fontId="15" fillId="0" borderId="2" xfId="3" applyNumberFormat="1" applyFont="1" applyBorder="1" applyAlignment="1" applyProtection="1">
      <alignment horizontal="center"/>
      <protection locked="0"/>
    </xf>
    <xf numFmtId="0" fontId="15" fillId="0" borderId="2" xfId="3" applyFont="1" applyBorder="1" applyAlignment="1">
      <alignment horizontal="center"/>
    </xf>
    <xf numFmtId="0" fontId="15" fillId="5" borderId="2" xfId="3" applyFont="1" applyFill="1" applyBorder="1" applyAlignment="1">
      <alignment horizontal="center"/>
    </xf>
    <xf numFmtId="0" fontId="15" fillId="0" borderId="2" xfId="3" applyFont="1" applyFill="1" applyBorder="1" applyAlignment="1">
      <alignment horizontal="center"/>
    </xf>
    <xf numFmtId="0" fontId="15" fillId="3" borderId="2" xfId="3" applyFont="1" applyFill="1" applyBorder="1"/>
    <xf numFmtId="0" fontId="15" fillId="0" borderId="10" xfId="3" applyFont="1" applyFill="1" applyBorder="1" applyAlignment="1">
      <alignment horizontal="center"/>
    </xf>
    <xf numFmtId="0" fontId="16" fillId="0" borderId="4" xfId="3" applyFont="1" applyBorder="1" applyAlignment="1">
      <alignment horizontal="left"/>
    </xf>
    <xf numFmtId="0" fontId="15" fillId="0" borderId="5" xfId="3" applyFont="1" applyBorder="1"/>
    <xf numFmtId="0" fontId="18" fillId="0" borderId="7" xfId="3" applyNumberFormat="1" applyFont="1" applyBorder="1" applyAlignment="1" applyProtection="1">
      <alignment horizontal="left"/>
      <protection locked="0"/>
    </xf>
    <xf numFmtId="37" fontId="18" fillId="0" borderId="1" xfId="12" applyNumberFormat="1" applyFont="1" applyBorder="1" applyProtection="1">
      <protection locked="0"/>
    </xf>
    <xf numFmtId="37" fontId="18" fillId="3" borderId="0" xfId="12" applyNumberFormat="1" applyFont="1" applyFill="1" applyBorder="1" applyProtection="1">
      <protection locked="0"/>
    </xf>
    <xf numFmtId="0" fontId="18" fillId="0" borderId="7" xfId="3" applyFont="1" applyBorder="1" applyAlignment="1">
      <alignment horizontal="left"/>
    </xf>
    <xf numFmtId="37" fontId="18" fillId="0" borderId="1" xfId="12" applyNumberFormat="1" applyFont="1" applyBorder="1" applyAlignment="1" applyProtection="1">
      <alignment horizontal="right"/>
      <protection locked="0"/>
    </xf>
    <xf numFmtId="37" fontId="18" fillId="0" borderId="16" xfId="12" applyNumberFormat="1" applyFont="1" applyBorder="1" applyAlignment="1" applyProtection="1">
      <alignment horizontal="right"/>
      <protection locked="0"/>
    </xf>
    <xf numFmtId="37" fontId="18" fillId="3" borderId="3" xfId="12" applyNumberFormat="1" applyFont="1" applyFill="1" applyBorder="1" applyProtection="1">
      <protection locked="0"/>
    </xf>
    <xf numFmtId="0" fontId="18" fillId="3" borderId="7" xfId="3" applyFont="1" applyFill="1" applyBorder="1" applyAlignment="1">
      <alignment horizontal="left"/>
    </xf>
    <xf numFmtId="165" fontId="15" fillId="0" borderId="14" xfId="12" applyNumberFormat="1" applyFont="1" applyBorder="1" applyAlignment="1" applyProtection="1">
      <alignment horizontal="center"/>
      <protection locked="0"/>
    </xf>
    <xf numFmtId="165" fontId="15" fillId="0" borderId="5" xfId="12" applyNumberFormat="1" applyFont="1" applyBorder="1" applyAlignment="1" applyProtection="1">
      <alignment horizontal="center"/>
      <protection locked="0"/>
    </xf>
    <xf numFmtId="167" fontId="18" fillId="0" borderId="1" xfId="12" applyNumberFormat="1" applyFont="1" applyBorder="1" applyProtection="1">
      <protection locked="0"/>
    </xf>
    <xf numFmtId="167" fontId="18" fillId="3" borderId="0" xfId="12" applyNumberFormat="1" applyFont="1" applyFill="1" applyBorder="1" applyProtection="1">
      <protection locked="0"/>
    </xf>
    <xf numFmtId="167" fontId="18" fillId="0" borderId="1" xfId="12" applyNumberFormat="1" applyFont="1" applyBorder="1" applyAlignment="1" applyProtection="1">
      <alignment horizontal="right"/>
      <protection locked="0"/>
    </xf>
    <xf numFmtId="167" fontId="18" fillId="0" borderId="16" xfId="12" applyNumberFormat="1" applyFont="1" applyBorder="1" applyAlignment="1" applyProtection="1">
      <alignment horizontal="right"/>
      <protection locked="0"/>
    </xf>
    <xf numFmtId="167" fontId="18" fillId="3" borderId="3" xfId="12" applyNumberFormat="1" applyFont="1" applyFill="1" applyBorder="1" applyProtection="1">
      <protection locked="0"/>
    </xf>
    <xf numFmtId="0" fontId="15" fillId="0" borderId="7" xfId="3" applyFont="1" applyBorder="1" applyAlignment="1">
      <alignment horizontal="left"/>
    </xf>
    <xf numFmtId="37" fontId="18" fillId="0" borderId="1" xfId="12" applyNumberFormat="1" applyFont="1" applyBorder="1" applyAlignment="1" applyProtection="1">
      <alignment horizontal="center"/>
      <protection locked="0"/>
    </xf>
    <xf numFmtId="37" fontId="18" fillId="3" borderId="0" xfId="12" applyNumberFormat="1" applyFont="1" applyFill="1" applyBorder="1"/>
    <xf numFmtId="37" fontId="18" fillId="0" borderId="0" xfId="12" applyNumberFormat="1" applyFont="1" applyBorder="1" applyAlignment="1" applyProtection="1">
      <alignment horizontal="center"/>
      <protection locked="0"/>
    </xf>
    <xf numFmtId="0" fontId="18" fillId="0" borderId="9" xfId="3" applyFont="1" applyBorder="1" applyAlignment="1">
      <alignment horizontal="left"/>
    </xf>
    <xf numFmtId="167" fontId="18" fillId="0" borderId="15" xfId="12" applyNumberFormat="1" applyFont="1" applyBorder="1" applyAlignment="1" applyProtection="1">
      <alignment horizontal="center"/>
      <protection locked="0"/>
    </xf>
    <xf numFmtId="167" fontId="18" fillId="3" borderId="2" xfId="12" applyNumberFormat="1" applyFont="1" applyFill="1" applyBorder="1"/>
    <xf numFmtId="167" fontId="18" fillId="0" borderId="2" xfId="12" applyNumberFormat="1" applyFont="1" applyBorder="1" applyAlignment="1" applyProtection="1">
      <alignment horizontal="center"/>
      <protection locked="0"/>
    </xf>
    <xf numFmtId="165" fontId="15" fillId="3" borderId="0" xfId="12" applyNumberFormat="1" applyFont="1" applyFill="1" applyBorder="1"/>
    <xf numFmtId="37" fontId="18" fillId="0" borderId="0" xfId="12" applyNumberFormat="1" applyFont="1" applyBorder="1" applyProtection="1">
      <protection locked="0"/>
    </xf>
    <xf numFmtId="165" fontId="18" fillId="3" borderId="0" xfId="12" applyNumberFormat="1" applyFont="1" applyFill="1" applyBorder="1" applyProtection="1">
      <protection locked="0"/>
    </xf>
    <xf numFmtId="37" fontId="18" fillId="0" borderId="0" xfId="12" applyNumberFormat="1" applyFont="1" applyBorder="1" applyAlignment="1">
      <alignment horizontal="right"/>
    </xf>
    <xf numFmtId="37" fontId="18" fillId="0" borderId="0" xfId="12" applyNumberFormat="1" applyFont="1" applyBorder="1" applyAlignment="1" applyProtection="1">
      <alignment horizontal="right"/>
      <protection locked="0"/>
    </xf>
    <xf numFmtId="37" fontId="18" fillId="0" borderId="3" xfId="12" applyNumberFormat="1" applyFont="1" applyBorder="1" applyAlignment="1" applyProtection="1">
      <alignment horizontal="right"/>
      <protection locked="0"/>
    </xf>
    <xf numFmtId="165" fontId="18" fillId="3" borderId="3" xfId="12" applyNumberFormat="1" applyFont="1" applyFill="1" applyBorder="1" applyProtection="1">
      <protection locked="0"/>
    </xf>
    <xf numFmtId="165" fontId="15" fillId="0" borderId="5" xfId="12" applyNumberFormat="1" applyFont="1" applyBorder="1" applyAlignment="1">
      <alignment horizontal="center"/>
    </xf>
    <xf numFmtId="165" fontId="15" fillId="3" borderId="5" xfId="12" applyNumberFormat="1" applyFont="1" applyFill="1" applyBorder="1"/>
    <xf numFmtId="167" fontId="18" fillId="0" borderId="0" xfId="12" applyNumberFormat="1" applyFont="1" applyBorder="1" applyProtection="1">
      <protection locked="0"/>
    </xf>
    <xf numFmtId="167" fontId="18" fillId="0" borderId="0" xfId="12" applyNumberFormat="1" applyFont="1" applyBorder="1" applyAlignment="1" applyProtection="1">
      <alignment horizontal="right"/>
      <protection locked="0"/>
    </xf>
    <xf numFmtId="167" fontId="18" fillId="0" borderId="3" xfId="12" applyNumberFormat="1" applyFont="1" applyBorder="1" applyAlignment="1" applyProtection="1">
      <alignment horizontal="right"/>
      <protection locked="0"/>
    </xf>
    <xf numFmtId="37" fontId="18" fillId="0" borderId="0" xfId="12" applyNumberFormat="1" applyFont="1" applyBorder="1" applyAlignment="1">
      <alignment horizontal="center"/>
    </xf>
    <xf numFmtId="167" fontId="18" fillId="0" borderId="2" xfId="12" applyNumberFormat="1" applyFont="1" applyBorder="1" applyAlignment="1">
      <alignment horizontal="center"/>
    </xf>
    <xf numFmtId="165" fontId="15" fillId="3" borderId="2" xfId="12" applyNumberFormat="1" applyFont="1" applyFill="1" applyBorder="1"/>
    <xf numFmtId="37" fontId="18" fillId="0" borderId="16" xfId="18" applyNumberFormat="1" applyFont="1" applyBorder="1" applyProtection="1">
      <protection locked="0"/>
    </xf>
    <xf numFmtId="3" fontId="18" fillId="0" borderId="8" xfId="12" applyNumberFormat="1" applyFont="1" applyBorder="1" applyAlignment="1">
      <alignment horizontal="center"/>
    </xf>
    <xf numFmtId="0" fontId="15" fillId="0" borderId="0" xfId="3" applyFont="1"/>
    <xf numFmtId="0" fontId="15" fillId="0" borderId="14" xfId="3" applyNumberFormat="1" applyFont="1" applyBorder="1" applyAlignment="1" applyProtection="1">
      <alignment horizontal="center"/>
      <protection locked="0"/>
    </xf>
    <xf numFmtId="0" fontId="15" fillId="3" borderId="5" xfId="3" applyFont="1" applyFill="1" applyBorder="1" applyAlignment="1">
      <alignment horizontal="center"/>
    </xf>
    <xf numFmtId="0" fontId="15" fillId="0" borderId="5" xfId="3" applyNumberFormat="1" applyFont="1" applyBorder="1" applyAlignment="1" applyProtection="1">
      <alignment horizontal="center"/>
      <protection locked="0"/>
    </xf>
    <xf numFmtId="38" fontId="15" fillId="0" borderId="5" xfId="3" applyNumberFormat="1" applyFont="1" applyBorder="1" applyAlignment="1" applyProtection="1">
      <alignment horizontal="center"/>
      <protection locked="0"/>
    </xf>
    <xf numFmtId="0" fontId="15" fillId="0" borderId="5" xfId="3" applyFont="1" applyBorder="1" applyAlignment="1">
      <alignment horizontal="center"/>
    </xf>
    <xf numFmtId="0" fontId="15" fillId="5" borderId="5" xfId="3" applyFont="1" applyFill="1" applyBorder="1" applyAlignment="1">
      <alignment horizontal="center"/>
    </xf>
    <xf numFmtId="0" fontId="15" fillId="0" borderId="5" xfId="3" applyFont="1" applyFill="1" applyBorder="1" applyAlignment="1">
      <alignment horizontal="center"/>
    </xf>
    <xf numFmtId="0" fontId="15" fillId="3" borderId="5" xfId="3" applyFont="1" applyFill="1" applyBorder="1" applyAlignment="1">
      <alignment horizontal="centerContinuous"/>
    </xf>
    <xf numFmtId="0" fontId="15" fillId="0" borderId="6" xfId="3" applyFont="1" applyFill="1" applyBorder="1" applyAlignment="1">
      <alignment horizontal="center"/>
    </xf>
    <xf numFmtId="0" fontId="15" fillId="0" borderId="0" xfId="3" applyFont="1" applyAlignment="1">
      <alignment horizontal="center"/>
    </xf>
    <xf numFmtId="0" fontId="15" fillId="0" borderId="9" xfId="3" applyFont="1" applyBorder="1" applyAlignment="1">
      <alignment horizontal="center"/>
    </xf>
    <xf numFmtId="0" fontId="15" fillId="0" borderId="15" xfId="3" applyNumberFormat="1" applyFont="1" applyBorder="1" applyAlignment="1" applyProtection="1">
      <alignment horizontal="center"/>
      <protection locked="0"/>
    </xf>
    <xf numFmtId="0" fontId="15" fillId="3" borderId="2" xfId="3" applyFont="1" applyFill="1" applyBorder="1" applyAlignment="1">
      <alignment horizontal="center"/>
    </xf>
    <xf numFmtId="0" fontId="15" fillId="0" borderId="2" xfId="3" applyNumberFormat="1" applyFont="1" applyBorder="1" applyAlignment="1" applyProtection="1">
      <alignment horizontal="center"/>
      <protection locked="0"/>
    </xf>
    <xf numFmtId="38" fontId="15" fillId="0" borderId="2" xfId="3" applyNumberFormat="1" applyFont="1" applyBorder="1" applyAlignment="1" applyProtection="1">
      <alignment horizontal="center"/>
      <protection locked="0"/>
    </xf>
    <xf numFmtId="0" fontId="15" fillId="0" borderId="2" xfId="3" applyFont="1" applyBorder="1" applyAlignment="1">
      <alignment horizontal="center"/>
    </xf>
    <xf numFmtId="0" fontId="15" fillId="5" borderId="2" xfId="3" applyFont="1" applyFill="1" applyBorder="1" applyAlignment="1">
      <alignment horizontal="center"/>
    </xf>
    <xf numFmtId="0" fontId="15" fillId="0" borderId="2" xfId="3" applyFont="1" applyFill="1" applyBorder="1" applyAlignment="1">
      <alignment horizontal="center"/>
    </xf>
    <xf numFmtId="0" fontId="15" fillId="3" borderId="2" xfId="3" applyFont="1" applyFill="1" applyBorder="1"/>
    <xf numFmtId="0" fontId="15" fillId="0" borderId="10" xfId="3" applyFont="1" applyFill="1" applyBorder="1" applyAlignment="1">
      <alignment horizontal="center"/>
    </xf>
    <xf numFmtId="168" fontId="18" fillId="0" borderId="8" xfId="12" applyNumberFormat="1" applyFont="1" applyBorder="1" applyProtection="1">
      <protection locked="0"/>
    </xf>
    <xf numFmtId="0" fontId="16" fillId="0" borderId="4" xfId="3" applyFont="1" applyBorder="1" applyAlignment="1">
      <alignment horizontal="left"/>
    </xf>
    <xf numFmtId="0" fontId="15" fillId="0" borderId="5" xfId="3" applyFont="1" applyBorder="1"/>
    <xf numFmtId="0" fontId="18" fillId="0" borderId="7" xfId="3" applyNumberFormat="1" applyFont="1" applyBorder="1" applyAlignment="1" applyProtection="1">
      <alignment horizontal="left"/>
      <protection locked="0"/>
    </xf>
    <xf numFmtId="37" fontId="18" fillId="0" borderId="1" xfId="12" applyNumberFormat="1" applyFont="1" applyBorder="1" applyProtection="1">
      <protection locked="0"/>
    </xf>
    <xf numFmtId="37" fontId="18" fillId="3" borderId="0" xfId="12" applyNumberFormat="1" applyFont="1" applyFill="1" applyBorder="1" applyProtection="1">
      <protection locked="0"/>
    </xf>
    <xf numFmtId="0" fontId="18" fillId="0" borderId="7" xfId="3" applyFont="1" applyBorder="1" applyAlignment="1">
      <alignment horizontal="left"/>
    </xf>
    <xf numFmtId="37" fontId="18" fillId="0" borderId="1" xfId="12" applyNumberFormat="1" applyFont="1" applyBorder="1" applyAlignment="1" applyProtection="1">
      <alignment horizontal="right"/>
      <protection locked="0"/>
    </xf>
    <xf numFmtId="37" fontId="18" fillId="0" borderId="16" xfId="12" applyNumberFormat="1" applyFont="1" applyBorder="1" applyAlignment="1" applyProtection="1">
      <alignment horizontal="right"/>
      <protection locked="0"/>
    </xf>
    <xf numFmtId="37" fontId="18" fillId="3" borderId="3" xfId="12" applyNumberFormat="1" applyFont="1" applyFill="1" applyBorder="1" applyProtection="1">
      <protection locked="0"/>
    </xf>
    <xf numFmtId="0" fontId="18" fillId="3" borderId="7" xfId="3" applyFont="1" applyFill="1" applyBorder="1" applyAlignment="1">
      <alignment horizontal="left"/>
    </xf>
    <xf numFmtId="165" fontId="15" fillId="0" borderId="14" xfId="12" applyNumberFormat="1" applyFont="1" applyBorder="1" applyAlignment="1" applyProtection="1">
      <alignment horizontal="center"/>
      <protection locked="0"/>
    </xf>
    <xf numFmtId="165" fontId="15" fillId="0" borderId="5" xfId="12" applyNumberFormat="1" applyFont="1" applyBorder="1" applyAlignment="1" applyProtection="1">
      <alignment horizontal="center"/>
      <protection locked="0"/>
    </xf>
    <xf numFmtId="167" fontId="18" fillId="0" borderId="1" xfId="12" applyNumberFormat="1" applyFont="1" applyBorder="1" applyProtection="1">
      <protection locked="0"/>
    </xf>
    <xf numFmtId="167" fontId="18" fillId="3" borderId="0" xfId="12" applyNumberFormat="1" applyFont="1" applyFill="1" applyBorder="1" applyProtection="1">
      <protection locked="0"/>
    </xf>
    <xf numFmtId="167" fontId="18" fillId="0" borderId="1" xfId="12" applyNumberFormat="1" applyFont="1" applyBorder="1" applyAlignment="1" applyProtection="1">
      <alignment horizontal="right"/>
      <protection locked="0"/>
    </xf>
    <xf numFmtId="167" fontId="18" fillId="0" borderId="16" xfId="12" applyNumberFormat="1" applyFont="1" applyBorder="1" applyAlignment="1" applyProtection="1">
      <alignment horizontal="right"/>
      <protection locked="0"/>
    </xf>
    <xf numFmtId="167" fontId="18" fillId="3" borderId="3" xfId="12" applyNumberFormat="1" applyFont="1" applyFill="1" applyBorder="1" applyProtection="1">
      <protection locked="0"/>
    </xf>
    <xf numFmtId="0" fontId="15" fillId="0" borderId="7" xfId="3" applyFont="1" applyBorder="1" applyAlignment="1">
      <alignment horizontal="left"/>
    </xf>
    <xf numFmtId="37" fontId="18" fillId="0" borderId="1" xfId="12" applyNumberFormat="1" applyFont="1" applyBorder="1" applyAlignment="1" applyProtection="1">
      <alignment horizontal="center"/>
      <protection locked="0"/>
    </xf>
    <xf numFmtId="37" fontId="18" fillId="3" borderId="0" xfId="12" applyNumberFormat="1" applyFont="1" applyFill="1" applyBorder="1"/>
    <xf numFmtId="37" fontId="18" fillId="0" borderId="0" xfId="12" applyNumberFormat="1" applyFont="1" applyBorder="1" applyAlignment="1" applyProtection="1">
      <alignment horizontal="center"/>
      <protection locked="0"/>
    </xf>
    <xf numFmtId="0" fontId="18" fillId="0" borderId="9" xfId="3" applyFont="1" applyBorder="1" applyAlignment="1">
      <alignment horizontal="left"/>
    </xf>
    <xf numFmtId="167" fontId="18" fillId="0" borderId="15" xfId="12" applyNumberFormat="1" applyFont="1" applyBorder="1" applyAlignment="1" applyProtection="1">
      <alignment horizontal="center"/>
      <protection locked="0"/>
    </xf>
    <xf numFmtId="167" fontId="18" fillId="3" borderId="2" xfId="12" applyNumberFormat="1" applyFont="1" applyFill="1" applyBorder="1"/>
    <xf numFmtId="167" fontId="18" fillId="0" borderId="2" xfId="12" applyNumberFormat="1" applyFont="1" applyBorder="1" applyAlignment="1" applyProtection="1">
      <alignment horizontal="center"/>
      <protection locked="0"/>
    </xf>
    <xf numFmtId="3" fontId="18" fillId="0" borderId="0" xfId="12" applyNumberFormat="1" applyFont="1" applyBorder="1" applyProtection="1">
      <protection locked="0"/>
    </xf>
    <xf numFmtId="168" fontId="18" fillId="0" borderId="0" xfId="12" applyNumberFormat="1" applyFont="1" applyBorder="1" applyProtection="1">
      <protection locked="0"/>
    </xf>
    <xf numFmtId="3" fontId="18" fillId="0" borderId="0" xfId="12" applyNumberFormat="1" applyFont="1" applyBorder="1" applyAlignment="1">
      <alignment horizontal="center"/>
    </xf>
    <xf numFmtId="165" fontId="18" fillId="3" borderId="0" xfId="12" applyNumberFormat="1" applyFont="1" applyFill="1" applyBorder="1"/>
    <xf numFmtId="168" fontId="18" fillId="0" borderId="2" xfId="12" applyNumberFormat="1" applyFont="1" applyBorder="1" applyAlignment="1">
      <alignment horizontal="center"/>
    </xf>
    <xf numFmtId="165" fontId="18" fillId="3" borderId="2" xfId="12" applyNumberFormat="1" applyFont="1" applyFill="1" applyBorder="1"/>
    <xf numFmtId="165" fontId="15" fillId="3" borderId="0" xfId="12" applyNumberFormat="1" applyFont="1" applyFill="1" applyBorder="1"/>
    <xf numFmtId="37" fontId="18" fillId="0" borderId="0" xfId="12" applyNumberFormat="1" applyFont="1" applyBorder="1" applyProtection="1">
      <protection locked="0"/>
    </xf>
    <xf numFmtId="165" fontId="18" fillId="3" borderId="0" xfId="12" applyNumberFormat="1" applyFont="1" applyFill="1" applyBorder="1" applyProtection="1">
      <protection locked="0"/>
    </xf>
    <xf numFmtId="37" fontId="18" fillId="0" borderId="0" xfId="12" applyNumberFormat="1" applyFont="1" applyBorder="1" applyAlignment="1">
      <alignment horizontal="right"/>
    </xf>
    <xf numFmtId="37" fontId="18" fillId="0" borderId="0" xfId="12" applyNumberFormat="1" applyFont="1" applyBorder="1" applyAlignment="1" applyProtection="1">
      <alignment horizontal="right"/>
      <protection locked="0"/>
    </xf>
    <xf numFmtId="37" fontId="18" fillId="0" borderId="3" xfId="12" applyNumberFormat="1" applyFont="1" applyBorder="1" applyAlignment="1" applyProtection="1">
      <alignment horizontal="right"/>
      <protection locked="0"/>
    </xf>
    <xf numFmtId="165" fontId="18" fillId="3" borderId="3" xfId="12" applyNumberFormat="1" applyFont="1" applyFill="1" applyBorder="1" applyProtection="1">
      <protection locked="0"/>
    </xf>
    <xf numFmtId="165" fontId="15" fillId="0" borderId="5" xfId="12" applyNumberFormat="1" applyFont="1" applyBorder="1" applyAlignment="1">
      <alignment horizontal="center"/>
    </xf>
    <xf numFmtId="165" fontId="15" fillId="3" borderId="5" xfId="12" applyNumberFormat="1" applyFont="1" applyFill="1" applyBorder="1"/>
    <xf numFmtId="167" fontId="18" fillId="0" borderId="0" xfId="12" applyNumberFormat="1" applyFont="1" applyBorder="1" applyProtection="1">
      <protection locked="0"/>
    </xf>
    <xf numFmtId="167" fontId="18" fillId="0" borderId="0" xfId="12" applyNumberFormat="1" applyFont="1" applyBorder="1" applyAlignment="1" applyProtection="1">
      <alignment horizontal="right"/>
      <protection locked="0"/>
    </xf>
    <xf numFmtId="167" fontId="18" fillId="0" borderId="3" xfId="12" applyNumberFormat="1" applyFont="1" applyBorder="1" applyAlignment="1" applyProtection="1">
      <alignment horizontal="right"/>
      <protection locked="0"/>
    </xf>
    <xf numFmtId="37" fontId="18" fillId="0" borderId="0" xfId="12" applyNumberFormat="1" applyFont="1" applyBorder="1" applyAlignment="1">
      <alignment horizontal="center"/>
    </xf>
    <xf numFmtId="167" fontId="18" fillId="0" borderId="2" xfId="12" applyNumberFormat="1" applyFont="1" applyBorder="1" applyAlignment="1">
      <alignment horizontal="center"/>
    </xf>
    <xf numFmtId="165" fontId="15" fillId="3" borderId="2" xfId="12" applyNumberFormat="1" applyFont="1" applyFill="1" applyBorder="1"/>
    <xf numFmtId="0" fontId="15" fillId="0" borderId="0" xfId="3" applyFont="1"/>
    <xf numFmtId="38" fontId="15" fillId="0" borderId="0" xfId="3" applyNumberFormat="1" applyFont="1"/>
    <xf numFmtId="38" fontId="15" fillId="0" borderId="0" xfId="3" applyNumberFormat="1" applyFont="1" applyProtection="1">
      <protection locked="0"/>
    </xf>
    <xf numFmtId="1" fontId="15" fillId="0" borderId="0" xfId="3" applyNumberFormat="1" applyFont="1" applyProtection="1">
      <protection locked="0"/>
    </xf>
    <xf numFmtId="0" fontId="15" fillId="0" borderId="0" xfId="3" applyFont="1" applyAlignment="1">
      <alignment horizontal="center"/>
    </xf>
    <xf numFmtId="0" fontId="15" fillId="0" borderId="0" xfId="3" applyFont="1" applyAlignment="1">
      <alignment horizontal="left"/>
    </xf>
    <xf numFmtId="0" fontId="15" fillId="0" borderId="9" xfId="3" applyFont="1" applyBorder="1" applyAlignment="1">
      <alignment horizontal="left"/>
    </xf>
    <xf numFmtId="0" fontId="18" fillId="0" borderId="7" xfId="3" applyNumberFormat="1" applyFont="1" applyBorder="1" applyAlignment="1" applyProtection="1">
      <alignment horizontal="left"/>
      <protection locked="0"/>
    </xf>
    <xf numFmtId="0" fontId="18" fillId="0" borderId="11" xfId="3" applyNumberFormat="1" applyFont="1" applyBorder="1" applyAlignment="1" applyProtection="1">
      <alignment horizontal="left"/>
      <protection locked="0"/>
    </xf>
    <xf numFmtId="0" fontId="15" fillId="0" borderId="18" xfId="3" applyFont="1" applyBorder="1" applyAlignment="1">
      <alignment horizontal="center"/>
    </xf>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164" fontId="15" fillId="0" borderId="15" xfId="1" applyNumberFormat="1" applyFont="1" applyBorder="1" applyProtection="1">
      <protection locked="0"/>
    </xf>
    <xf numFmtId="164" fontId="15" fillId="0" borderId="2" xfId="1" applyNumberFormat="1" applyFont="1" applyBorder="1" applyProtection="1">
      <protection locked="0"/>
    </xf>
    <xf numFmtId="164" fontId="15" fillId="3" borderId="2" xfId="1" applyNumberFormat="1" applyFont="1" applyFill="1" applyBorder="1" applyProtection="1">
      <protection locked="0"/>
    </xf>
    <xf numFmtId="164" fontId="15" fillId="0" borderId="1" xfId="1" applyNumberFormat="1" applyFont="1" applyBorder="1"/>
    <xf numFmtId="164" fontId="15" fillId="3" borderId="0" xfId="1" applyNumberFormat="1" applyFont="1" applyFill="1" applyBorder="1"/>
    <xf numFmtId="164" fontId="15" fillId="0" borderId="0" xfId="1" applyNumberFormat="1" applyFont="1" applyBorder="1"/>
    <xf numFmtId="164" fontId="18" fillId="0" borderId="1" xfId="1" applyNumberFormat="1" applyFont="1" applyBorder="1" applyProtection="1">
      <protection locked="0"/>
    </xf>
    <xf numFmtId="164" fontId="18" fillId="3" borderId="0" xfId="1" applyNumberFormat="1" applyFont="1" applyFill="1" applyBorder="1" applyProtection="1">
      <protection locked="0"/>
    </xf>
    <xf numFmtId="164" fontId="18" fillId="0" borderId="0" xfId="1" applyNumberFormat="1" applyFont="1" applyBorder="1" applyProtection="1">
      <protection locked="0"/>
    </xf>
    <xf numFmtId="164" fontId="18" fillId="3" borderId="3" xfId="1" applyNumberFormat="1" applyFont="1" applyFill="1" applyBorder="1" applyProtection="1">
      <protection locked="0"/>
    </xf>
    <xf numFmtId="164" fontId="15" fillId="3" borderId="5" xfId="1" applyNumberFormat="1" applyFont="1" applyFill="1" applyBorder="1"/>
    <xf numFmtId="0" fontId="18" fillId="0" borderId="0" xfId="3" applyFont="1" applyAlignment="1">
      <alignment horizontal="left"/>
    </xf>
    <xf numFmtId="164" fontId="15" fillId="0" borderId="0" xfId="1" applyNumberFormat="1" applyFont="1" applyBorder="1" applyProtection="1">
      <protection locked="0"/>
    </xf>
    <xf numFmtId="164" fontId="15" fillId="0" borderId="0" xfId="1" applyNumberFormat="1" applyFont="1" applyFill="1" applyBorder="1"/>
    <xf numFmtId="0" fontId="22" fillId="0" borderId="0" xfId="3" applyFont="1" applyFill="1" applyAlignment="1">
      <alignment horizontal="left"/>
    </xf>
    <xf numFmtId="5" fontId="18" fillId="3" borderId="0" xfId="7" applyNumberFormat="1" applyFont="1" applyFill="1" applyBorder="1" applyProtection="1">
      <protection locked="0"/>
    </xf>
    <xf numFmtId="165" fontId="18" fillId="0" borderId="1" xfId="7" applyNumberFormat="1" applyFont="1" applyBorder="1" applyProtection="1">
      <protection locked="0"/>
    </xf>
    <xf numFmtId="165" fontId="18" fillId="0" borderId="0" xfId="7" applyNumberFormat="1" applyFont="1" applyBorder="1" applyProtection="1">
      <protection locked="0"/>
    </xf>
    <xf numFmtId="0" fontId="15" fillId="0" borderId="14" xfId="3" applyNumberFormat="1" applyFont="1" applyBorder="1" applyAlignment="1" applyProtection="1">
      <alignment horizontal="center"/>
      <protection locked="0"/>
    </xf>
    <xf numFmtId="0" fontId="15" fillId="3" borderId="5" xfId="3" applyFont="1" applyFill="1" applyBorder="1" applyAlignment="1">
      <alignment horizontal="center"/>
    </xf>
    <xf numFmtId="0" fontId="15" fillId="0" borderId="5" xfId="3" applyNumberFormat="1" applyFont="1" applyBorder="1" applyAlignment="1" applyProtection="1">
      <alignment horizontal="center"/>
      <protection locked="0"/>
    </xf>
    <xf numFmtId="38" fontId="15" fillId="0" borderId="5" xfId="3" applyNumberFormat="1" applyFont="1" applyBorder="1" applyAlignment="1" applyProtection="1">
      <alignment horizontal="center"/>
      <protection locked="0"/>
    </xf>
    <xf numFmtId="0" fontId="15" fillId="0" borderId="5" xfId="3" applyFont="1" applyBorder="1" applyAlignment="1">
      <alignment horizontal="center"/>
    </xf>
    <xf numFmtId="0" fontId="15" fillId="5" borderId="5" xfId="3" applyFont="1" applyFill="1" applyBorder="1" applyAlignment="1">
      <alignment horizontal="center"/>
    </xf>
    <xf numFmtId="0" fontId="15" fillId="5" borderId="6" xfId="3" applyFont="1" applyFill="1" applyBorder="1" applyAlignment="1">
      <alignment horizontal="center"/>
    </xf>
    <xf numFmtId="0" fontId="15" fillId="0" borderId="4" xfId="3" applyFont="1" applyFill="1" applyBorder="1" applyAlignment="1">
      <alignment horizontal="center"/>
    </xf>
    <xf numFmtId="0" fontId="15" fillId="3" borderId="5" xfId="3" applyFont="1" applyFill="1" applyBorder="1" applyAlignment="1">
      <alignment horizontal="centerContinuous"/>
    </xf>
    <xf numFmtId="0" fontId="15" fillId="0" borderId="5" xfId="3" applyFont="1" applyFill="1" applyBorder="1" applyAlignment="1">
      <alignment horizontal="center"/>
    </xf>
    <xf numFmtId="0" fontId="15" fillId="0" borderId="6" xfId="3" applyFont="1" applyFill="1" applyBorder="1" applyAlignment="1">
      <alignment horizontal="center"/>
    </xf>
    <xf numFmtId="0" fontId="15" fillId="0" borderId="9" xfId="3" applyFont="1" applyBorder="1" applyAlignment="1">
      <alignment horizontal="center"/>
    </xf>
    <xf numFmtId="0" fontId="15" fillId="0" borderId="15" xfId="3" applyNumberFormat="1" applyFont="1" applyBorder="1" applyAlignment="1" applyProtection="1">
      <alignment horizontal="center"/>
      <protection locked="0"/>
    </xf>
    <xf numFmtId="0" fontId="15" fillId="3" borderId="2" xfId="3" applyFont="1" applyFill="1" applyBorder="1" applyAlignment="1">
      <alignment horizontal="center"/>
    </xf>
    <xf numFmtId="0" fontId="15" fillId="0" borderId="2" xfId="3" applyNumberFormat="1" applyFont="1" applyBorder="1" applyAlignment="1" applyProtection="1">
      <alignment horizontal="center"/>
      <protection locked="0"/>
    </xf>
    <xf numFmtId="38" fontId="15" fillId="0" borderId="2" xfId="3" applyNumberFormat="1" applyFont="1" applyBorder="1" applyAlignment="1" applyProtection="1">
      <alignment horizontal="center"/>
      <protection locked="0"/>
    </xf>
    <xf numFmtId="0" fontId="15" fillId="0" borderId="2" xfId="3" applyFont="1" applyBorder="1" applyAlignment="1">
      <alignment horizontal="center"/>
    </xf>
    <xf numFmtId="0" fontId="15" fillId="5" borderId="2" xfId="3" applyFont="1" applyFill="1" applyBorder="1" applyAlignment="1">
      <alignment horizontal="center"/>
    </xf>
    <xf numFmtId="0" fontId="15" fillId="5" borderId="10" xfId="3" applyFont="1" applyFill="1" applyBorder="1" applyAlignment="1">
      <alignment horizontal="center"/>
    </xf>
    <xf numFmtId="0" fontId="15" fillId="0" borderId="9" xfId="3" applyFont="1" applyFill="1" applyBorder="1" applyAlignment="1">
      <alignment horizontal="center"/>
    </xf>
    <xf numFmtId="0" fontId="15" fillId="3" borderId="2" xfId="3" applyFont="1" applyFill="1" applyBorder="1"/>
    <xf numFmtId="0" fontId="15" fillId="0" borderId="2" xfId="3" applyFont="1" applyFill="1" applyBorder="1" applyAlignment="1">
      <alignment horizontal="center"/>
    </xf>
    <xf numFmtId="0" fontId="15" fillId="0" borderId="10" xfId="3" applyFont="1" applyFill="1" applyBorder="1" applyAlignment="1">
      <alignment horizontal="center"/>
    </xf>
    <xf numFmtId="0" fontId="16" fillId="0" borderId="4" xfId="3" applyFont="1" applyBorder="1" applyAlignment="1">
      <alignment horizontal="left"/>
    </xf>
    <xf numFmtId="0" fontId="15" fillId="0" borderId="6" xfId="3" applyFont="1" applyBorder="1"/>
    <xf numFmtId="165" fontId="15" fillId="3" borderId="0" xfId="18" applyNumberFormat="1" applyFont="1" applyFill="1" applyBorder="1"/>
    <xf numFmtId="37" fontId="18" fillId="0" borderId="1" xfId="18" applyNumberFormat="1" applyFont="1" applyBorder="1" applyProtection="1">
      <protection locked="0"/>
    </xf>
    <xf numFmtId="37" fontId="18" fillId="3" borderId="0" xfId="18" applyNumberFormat="1" applyFont="1" applyFill="1" applyBorder="1" applyProtection="1">
      <protection locked="0"/>
    </xf>
    <xf numFmtId="37" fontId="18" fillId="0" borderId="0" xfId="18" applyNumberFormat="1" applyFont="1" applyBorder="1" applyProtection="1">
      <protection locked="0"/>
    </xf>
    <xf numFmtId="165" fontId="18" fillId="3" borderId="0" xfId="18" applyNumberFormat="1" applyFont="1" applyFill="1" applyBorder="1" applyProtection="1">
      <protection locked="0"/>
    </xf>
    <xf numFmtId="37" fontId="18" fillId="0" borderId="8" xfId="3" applyNumberFormat="1" applyFont="1" applyBorder="1"/>
    <xf numFmtId="37" fontId="18" fillId="0" borderId="0" xfId="3" applyNumberFormat="1" applyFont="1" applyBorder="1"/>
    <xf numFmtId="0" fontId="18" fillId="0" borderId="7" xfId="3" applyFont="1" applyBorder="1" applyAlignment="1">
      <alignment horizontal="left"/>
    </xf>
    <xf numFmtId="37" fontId="18" fillId="0" borderId="0" xfId="18" applyNumberFormat="1" applyFont="1" applyBorder="1" applyAlignment="1" applyProtection="1">
      <alignment horizontal="right"/>
      <protection locked="0"/>
    </xf>
    <xf numFmtId="37" fontId="18" fillId="3" borderId="3" xfId="18" applyNumberFormat="1" applyFont="1" applyFill="1" applyBorder="1" applyProtection="1">
      <protection locked="0"/>
    </xf>
    <xf numFmtId="37" fontId="18" fillId="0" borderId="3" xfId="18" applyNumberFormat="1" applyFont="1" applyBorder="1" applyAlignment="1" applyProtection="1">
      <alignment horizontal="right"/>
      <protection locked="0"/>
    </xf>
    <xf numFmtId="165" fontId="18" fillId="3" borderId="3" xfId="18" applyNumberFormat="1" applyFont="1" applyFill="1" applyBorder="1" applyProtection="1">
      <protection locked="0"/>
    </xf>
    <xf numFmtId="37" fontId="18" fillId="0" borderId="3" xfId="18" applyNumberFormat="1" applyFont="1" applyBorder="1" applyProtection="1">
      <protection locked="0"/>
    </xf>
    <xf numFmtId="37" fontId="18" fillId="0" borderId="3" xfId="3" applyNumberFormat="1" applyFont="1" applyBorder="1"/>
    <xf numFmtId="37" fontId="18" fillId="0" borderId="12" xfId="3" applyNumberFormat="1" applyFont="1" applyBorder="1"/>
    <xf numFmtId="0" fontId="18" fillId="3" borderId="7" xfId="3" applyFont="1" applyFill="1" applyBorder="1" applyAlignment="1">
      <alignment horizontal="left"/>
    </xf>
    <xf numFmtId="167" fontId="18" fillId="3" borderId="0" xfId="18" applyNumberFormat="1" applyFont="1" applyFill="1" applyBorder="1" applyProtection="1">
      <protection locked="0"/>
    </xf>
    <xf numFmtId="167" fontId="18" fillId="0" borderId="0" xfId="18" applyNumberFormat="1" applyFont="1" applyBorder="1" applyProtection="1">
      <protection locked="0"/>
    </xf>
    <xf numFmtId="167" fontId="18" fillId="0" borderId="0" xfId="3" applyNumberFormat="1" applyFont="1" applyBorder="1"/>
    <xf numFmtId="167" fontId="18" fillId="0" borderId="8" xfId="3" applyNumberFormat="1" applyFont="1" applyBorder="1"/>
    <xf numFmtId="167" fontId="18" fillId="0" borderId="0" xfId="18" applyNumberFormat="1" applyFont="1" applyBorder="1" applyAlignment="1" applyProtection="1">
      <alignment horizontal="right"/>
      <protection locked="0"/>
    </xf>
    <xf numFmtId="167" fontId="18" fillId="3" borderId="3" xfId="18" applyNumberFormat="1" applyFont="1" applyFill="1" applyBorder="1" applyProtection="1">
      <protection locked="0"/>
    </xf>
    <xf numFmtId="167" fontId="18" fillId="0" borderId="3" xfId="18" applyNumberFormat="1" applyFont="1" applyBorder="1" applyAlignment="1" applyProtection="1">
      <alignment horizontal="right"/>
      <protection locked="0"/>
    </xf>
    <xf numFmtId="167" fontId="18" fillId="0" borderId="3" xfId="18" applyNumberFormat="1" applyFont="1" applyBorder="1" applyProtection="1">
      <protection locked="0"/>
    </xf>
    <xf numFmtId="167" fontId="18" fillId="0" borderId="3" xfId="3" applyNumberFormat="1" applyFont="1" applyBorder="1"/>
    <xf numFmtId="167" fontId="18" fillId="0" borderId="12" xfId="3" applyNumberFormat="1" applyFont="1" applyBorder="1"/>
    <xf numFmtId="0" fontId="15" fillId="0" borderId="7" xfId="3" applyFont="1" applyBorder="1" applyAlignment="1">
      <alignment horizontal="left"/>
    </xf>
    <xf numFmtId="37" fontId="18" fillId="0" borderId="0" xfId="18" applyNumberFormat="1" applyFont="1" applyBorder="1" applyAlignment="1">
      <alignment horizontal="center"/>
    </xf>
    <xf numFmtId="0" fontId="18" fillId="0" borderId="9" xfId="3" applyFont="1" applyBorder="1" applyAlignment="1">
      <alignment horizontal="left"/>
    </xf>
    <xf numFmtId="167" fontId="18" fillId="3" borderId="2" xfId="18" applyNumberFormat="1" applyFont="1" applyFill="1" applyBorder="1"/>
    <xf numFmtId="167" fontId="18" fillId="0" borderId="2" xfId="18" applyNumberFormat="1" applyFont="1" applyBorder="1" applyAlignment="1" applyProtection="1">
      <alignment horizontal="center"/>
      <protection locked="0"/>
    </xf>
    <xf numFmtId="167" fontId="18" fillId="0" borderId="2" xfId="18" applyNumberFormat="1" applyFont="1" applyBorder="1" applyAlignment="1">
      <alignment horizontal="center"/>
    </xf>
    <xf numFmtId="165" fontId="15" fillId="3" borderId="2" xfId="18" applyNumberFormat="1" applyFont="1" applyFill="1" applyBorder="1"/>
    <xf numFmtId="0" fontId="18" fillId="3" borderId="0" xfId="18" applyNumberFormat="1" applyFont="1" applyFill="1" applyBorder="1"/>
    <xf numFmtId="0" fontId="18" fillId="0" borderId="0" xfId="18" applyNumberFormat="1" applyFont="1" applyBorder="1" applyAlignment="1" applyProtection="1">
      <alignment horizontal="center"/>
      <protection locked="0"/>
    </xf>
    <xf numFmtId="0" fontId="18" fillId="0" borderId="0" xfId="18" applyNumberFormat="1" applyFont="1" applyBorder="1" applyAlignment="1">
      <alignment horizontal="center"/>
    </xf>
    <xf numFmtId="164" fontId="18" fillId="0" borderId="0" xfId="1" applyNumberFormat="1" applyFont="1" applyFill="1" applyBorder="1" applyAlignment="1">
      <alignment horizontal="center"/>
    </xf>
    <xf numFmtId="164" fontId="18" fillId="0" borderId="2" xfId="1" applyNumberFormat="1" applyFont="1" applyFill="1" applyBorder="1" applyAlignment="1">
      <alignment horizontal="center"/>
    </xf>
    <xf numFmtId="164" fontId="18" fillId="0" borderId="0" xfId="1" applyNumberFormat="1" applyFont="1" applyFill="1" applyBorder="1"/>
    <xf numFmtId="164" fontId="18" fillId="0" borderId="2" xfId="1" applyNumberFormat="1" applyFont="1" applyFill="1" applyBorder="1"/>
    <xf numFmtId="164" fontId="18" fillId="0" borderId="8" xfId="1" applyNumberFormat="1" applyFont="1" applyFill="1" applyBorder="1"/>
    <xf numFmtId="164" fontId="18" fillId="0" borderId="10" xfId="1" applyNumberFormat="1" applyFont="1" applyFill="1" applyBorder="1"/>
    <xf numFmtId="37" fontId="18" fillId="0" borderId="15" xfId="18" applyNumberFormat="1" applyFont="1" applyBorder="1" applyProtection="1">
      <protection locked="0"/>
    </xf>
    <xf numFmtId="38" fontId="18" fillId="3" borderId="0" xfId="1" applyNumberFormat="1" applyFont="1" applyFill="1" applyBorder="1" applyAlignment="1">
      <alignment horizontal="center" vertical="center"/>
    </xf>
    <xf numFmtId="164" fontId="18" fillId="3" borderId="0" xfId="20" applyNumberFormat="1" applyFont="1" applyFill="1" applyBorder="1"/>
    <xf numFmtId="164" fontId="18" fillId="0" borderId="0" xfId="20" applyNumberFormat="1" applyFont="1" applyBorder="1"/>
    <xf numFmtId="164" fontId="18" fillId="0" borderId="1" xfId="20" applyNumberFormat="1" applyFont="1" applyBorder="1"/>
    <xf numFmtId="0" fontId="15" fillId="0" borderId="0" xfId="3" applyFont="1"/>
    <xf numFmtId="0" fontId="15" fillId="0" borderId="0" xfId="3" applyFont="1" applyAlignment="1">
      <alignment horizontal="center"/>
    </xf>
    <xf numFmtId="0" fontId="18" fillId="0" borderId="7" xfId="3" applyNumberFormat="1" applyFont="1" applyBorder="1" applyAlignment="1" applyProtection="1">
      <alignment horizontal="left"/>
      <protection locked="0"/>
    </xf>
    <xf numFmtId="0" fontId="18" fillId="0" borderId="11" xfId="3" applyNumberFormat="1" applyFont="1" applyBorder="1" applyAlignment="1" applyProtection="1">
      <alignment horizontal="left"/>
      <protection locked="0"/>
    </xf>
    <xf numFmtId="38" fontId="15" fillId="0" borderId="0" xfId="3" applyNumberFormat="1" applyFont="1"/>
    <xf numFmtId="0" fontId="15" fillId="0" borderId="0" xfId="3" applyFont="1" applyAlignment="1">
      <alignment horizontal="left"/>
    </xf>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0" fontId="15" fillId="0" borderId="18" xfId="3" applyFont="1" applyBorder="1" applyAlignment="1">
      <alignment horizontal="center"/>
    </xf>
    <xf numFmtId="37" fontId="18" fillId="0" borderId="1" xfId="20" applyNumberFormat="1" applyFont="1" applyBorder="1" applyProtection="1">
      <protection locked="0"/>
    </xf>
    <xf numFmtId="37" fontId="18" fillId="3" borderId="0" xfId="20" applyNumberFormat="1" applyFont="1" applyFill="1" applyBorder="1" applyProtection="1">
      <protection locked="0"/>
    </xf>
    <xf numFmtId="37" fontId="18" fillId="0" borderId="0" xfId="20" applyNumberFormat="1" applyFont="1" applyBorder="1" applyProtection="1">
      <protection locked="0"/>
    </xf>
    <xf numFmtId="37" fontId="27" fillId="0" borderId="1" xfId="20" applyNumberFormat="1" applyFont="1" applyBorder="1" applyProtection="1">
      <protection locked="0"/>
    </xf>
    <xf numFmtId="37" fontId="27" fillId="0" borderId="0" xfId="20" applyNumberFormat="1" applyFont="1" applyBorder="1" applyProtection="1">
      <protection locked="0"/>
    </xf>
    <xf numFmtId="37" fontId="18" fillId="0" borderId="16" xfId="20" applyNumberFormat="1" applyFont="1" applyBorder="1" applyProtection="1">
      <protection locked="0"/>
    </xf>
    <xf numFmtId="37" fontId="18" fillId="3" borderId="3" xfId="20" applyNumberFormat="1" applyFont="1" applyFill="1" applyBorder="1" applyProtection="1">
      <protection locked="0"/>
    </xf>
    <xf numFmtId="37" fontId="18" fillId="0" borderId="3" xfId="20" applyNumberFormat="1" applyFont="1" applyBorder="1" applyProtection="1">
      <protection locked="0"/>
    </xf>
    <xf numFmtId="0" fontId="15" fillId="0" borderId="9" xfId="3" applyFont="1" applyBorder="1" applyAlignment="1">
      <alignment horizontal="left"/>
    </xf>
    <xf numFmtId="0" fontId="15" fillId="0" borderId="0" xfId="3" applyFont="1"/>
    <xf numFmtId="0" fontId="15" fillId="0" borderId="0" xfId="3" applyFont="1" applyAlignment="1">
      <alignment horizontal="center"/>
    </xf>
    <xf numFmtId="0" fontId="18" fillId="0" borderId="7" xfId="3" applyNumberFormat="1" applyFont="1" applyBorder="1" applyAlignment="1" applyProtection="1">
      <alignment horizontal="left"/>
      <protection locked="0"/>
    </xf>
    <xf numFmtId="0" fontId="18" fillId="0" borderId="11" xfId="3" applyNumberFormat="1" applyFont="1" applyBorder="1" applyAlignment="1" applyProtection="1">
      <alignment horizontal="left"/>
      <protection locked="0"/>
    </xf>
    <xf numFmtId="38" fontId="15" fillId="0" borderId="0" xfId="3" applyNumberFormat="1" applyFont="1"/>
    <xf numFmtId="0" fontId="15" fillId="0" borderId="0" xfId="3" applyFont="1" applyAlignment="1">
      <alignment horizontal="left"/>
    </xf>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0" fontId="15" fillId="0" borderId="18" xfId="3" applyFont="1" applyBorder="1" applyAlignment="1">
      <alignment horizontal="center"/>
    </xf>
    <xf numFmtId="37" fontId="18" fillId="0" borderId="1" xfId="20" applyNumberFormat="1" applyFont="1" applyBorder="1" applyProtection="1">
      <protection locked="0"/>
    </xf>
    <xf numFmtId="37" fontId="18" fillId="3" borderId="0" xfId="20" applyNumberFormat="1" applyFont="1" applyFill="1" applyBorder="1" applyProtection="1">
      <protection locked="0"/>
    </xf>
    <xf numFmtId="37" fontId="18" fillId="0" borderId="0" xfId="20" applyNumberFormat="1" applyFont="1" applyBorder="1" applyProtection="1">
      <protection locked="0"/>
    </xf>
    <xf numFmtId="37" fontId="18" fillId="0" borderId="16" xfId="20" applyNumberFormat="1" applyFont="1" applyBorder="1" applyProtection="1">
      <protection locked="0"/>
    </xf>
    <xf numFmtId="37" fontId="18" fillId="3" borderId="3" xfId="20" applyNumberFormat="1" applyFont="1" applyFill="1" applyBorder="1" applyProtection="1">
      <protection locked="0"/>
    </xf>
    <xf numFmtId="37" fontId="18" fillId="0" borderId="3" xfId="20" applyNumberFormat="1" applyFont="1" applyBorder="1" applyProtection="1">
      <protection locked="0"/>
    </xf>
    <xf numFmtId="0" fontId="15" fillId="0" borderId="9" xfId="3" applyFont="1" applyBorder="1" applyAlignment="1">
      <alignment horizontal="left"/>
    </xf>
    <xf numFmtId="0" fontId="15" fillId="0" borderId="0" xfId="3" applyFont="1"/>
    <xf numFmtId="0" fontId="15" fillId="0" borderId="0" xfId="3" applyFont="1" applyAlignment="1">
      <alignment horizontal="center"/>
    </xf>
    <xf numFmtId="0" fontId="18" fillId="0" borderId="7" xfId="3" applyNumberFormat="1" applyFont="1" applyBorder="1" applyAlignment="1" applyProtection="1">
      <alignment horizontal="left"/>
      <protection locked="0"/>
    </xf>
    <xf numFmtId="0" fontId="18" fillId="0" borderId="11" xfId="3" applyNumberFormat="1" applyFont="1" applyBorder="1" applyAlignment="1" applyProtection="1">
      <alignment horizontal="left"/>
      <protection locked="0"/>
    </xf>
    <xf numFmtId="38" fontId="15" fillId="0" borderId="0" xfId="3" applyNumberFormat="1" applyFont="1"/>
    <xf numFmtId="0" fontId="15" fillId="0" borderId="0" xfId="3" applyFont="1" applyAlignment="1">
      <alignment horizontal="left"/>
    </xf>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0" fontId="15" fillId="0" borderId="18" xfId="3" applyFont="1" applyBorder="1" applyAlignment="1">
      <alignment horizontal="center"/>
    </xf>
    <xf numFmtId="37" fontId="18" fillId="0" borderId="1" xfId="20" applyNumberFormat="1" applyFont="1" applyBorder="1" applyProtection="1">
      <protection locked="0"/>
    </xf>
    <xf numFmtId="37" fontId="18" fillId="3" borderId="0" xfId="20" applyNumberFormat="1" applyFont="1" applyFill="1" applyBorder="1" applyProtection="1">
      <protection locked="0"/>
    </xf>
    <xf numFmtId="37" fontId="18" fillId="0" borderId="0" xfId="20" applyNumberFormat="1" applyFont="1" applyBorder="1" applyProtection="1">
      <protection locked="0"/>
    </xf>
    <xf numFmtId="37" fontId="18" fillId="0" borderId="16" xfId="20" applyNumberFormat="1" applyFont="1" applyBorder="1" applyProtection="1">
      <protection locked="0"/>
    </xf>
    <xf numFmtId="37" fontId="18" fillId="3" borderId="3" xfId="20" applyNumberFormat="1" applyFont="1" applyFill="1" applyBorder="1" applyProtection="1">
      <protection locked="0"/>
    </xf>
    <xf numFmtId="37" fontId="18" fillId="0" borderId="3" xfId="20" applyNumberFormat="1" applyFont="1" applyBorder="1" applyProtection="1">
      <protection locked="0"/>
    </xf>
    <xf numFmtId="0" fontId="15" fillId="0" borderId="9" xfId="3" applyFont="1" applyBorder="1" applyAlignment="1">
      <alignment horizontal="left"/>
    </xf>
    <xf numFmtId="37" fontId="27" fillId="0" borderId="0" xfId="20" applyNumberFormat="1" applyFont="1" applyBorder="1" applyAlignment="1" applyProtection="1">
      <alignment horizontal="center"/>
      <protection locked="0"/>
    </xf>
    <xf numFmtId="37" fontId="27" fillId="3" borderId="0" xfId="20" applyNumberFormat="1" applyFont="1" applyFill="1" applyBorder="1" applyAlignment="1" applyProtection="1">
      <alignment horizontal="center"/>
      <protection locked="0"/>
    </xf>
    <xf numFmtId="0" fontId="15" fillId="0" borderId="0" xfId="3" applyFont="1"/>
    <xf numFmtId="0" fontId="15" fillId="0" borderId="0" xfId="3" applyFont="1" applyAlignment="1">
      <alignment horizontal="center"/>
    </xf>
    <xf numFmtId="0" fontId="18" fillId="0" borderId="7" xfId="3" applyNumberFormat="1" applyFont="1" applyBorder="1" applyAlignment="1" applyProtection="1">
      <alignment horizontal="left"/>
      <protection locked="0"/>
    </xf>
    <xf numFmtId="0" fontId="18" fillId="0" borderId="11" xfId="3" applyNumberFormat="1" applyFont="1" applyBorder="1" applyAlignment="1" applyProtection="1">
      <alignment horizontal="left"/>
      <protection locked="0"/>
    </xf>
    <xf numFmtId="38" fontId="15" fillId="0" borderId="0" xfId="3" applyNumberFormat="1" applyFont="1"/>
    <xf numFmtId="0" fontId="15" fillId="0" borderId="0" xfId="3" applyFont="1" applyAlignment="1">
      <alignment horizontal="left"/>
    </xf>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0" fontId="15" fillId="0" borderId="18" xfId="3" applyFont="1" applyBorder="1" applyAlignment="1">
      <alignment horizontal="center"/>
    </xf>
    <xf numFmtId="37" fontId="18" fillId="0" borderId="1" xfId="20" applyNumberFormat="1" applyFont="1" applyBorder="1" applyProtection="1">
      <protection locked="0"/>
    </xf>
    <xf numFmtId="37" fontId="18" fillId="3" borderId="0" xfId="20" applyNumberFormat="1" applyFont="1" applyFill="1" applyBorder="1" applyProtection="1">
      <protection locked="0"/>
    </xf>
    <xf numFmtId="37" fontId="18" fillId="0" borderId="0" xfId="20" applyNumberFormat="1" applyFont="1" applyBorder="1" applyProtection="1">
      <protection locked="0"/>
    </xf>
    <xf numFmtId="37" fontId="18" fillId="0" borderId="16" xfId="20" applyNumberFormat="1" applyFont="1" applyBorder="1" applyProtection="1">
      <protection locked="0"/>
    </xf>
    <xf numFmtId="37" fontId="18" fillId="3" borderId="3" xfId="20" applyNumberFormat="1" applyFont="1" applyFill="1" applyBorder="1" applyProtection="1">
      <protection locked="0"/>
    </xf>
    <xf numFmtId="37" fontId="18" fillId="0" borderId="3" xfId="20" applyNumberFormat="1" applyFont="1" applyBorder="1" applyProtection="1">
      <protection locked="0"/>
    </xf>
    <xf numFmtId="0" fontId="15" fillId="0" borderId="9" xfId="3" applyFont="1" applyBorder="1" applyAlignment="1">
      <alignment horizontal="left"/>
    </xf>
    <xf numFmtId="0" fontId="15" fillId="0" borderId="0" xfId="3" applyFont="1"/>
    <xf numFmtId="0" fontId="15" fillId="0" borderId="0" xfId="3" applyFont="1" applyAlignment="1">
      <alignment horizontal="center"/>
    </xf>
    <xf numFmtId="0" fontId="18" fillId="0" borderId="7" xfId="3" applyNumberFormat="1" applyFont="1" applyBorder="1" applyAlignment="1" applyProtection="1">
      <alignment horizontal="left"/>
      <protection locked="0"/>
    </xf>
    <xf numFmtId="0" fontId="18" fillId="0" borderId="11" xfId="3" applyNumberFormat="1" applyFont="1" applyBorder="1" applyAlignment="1" applyProtection="1">
      <alignment horizontal="left"/>
      <protection locked="0"/>
    </xf>
    <xf numFmtId="38" fontId="15" fillId="0" borderId="0" xfId="3" applyNumberFormat="1" applyFont="1"/>
    <xf numFmtId="0" fontId="15" fillId="0" borderId="0" xfId="3" applyFont="1" applyAlignment="1">
      <alignment horizontal="left"/>
    </xf>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0" fontId="15" fillId="0" borderId="18" xfId="3" applyFont="1" applyBorder="1" applyAlignment="1">
      <alignment horizontal="center"/>
    </xf>
    <xf numFmtId="164" fontId="18" fillId="3" borderId="3" xfId="20" applyNumberFormat="1" applyFont="1" applyFill="1" applyBorder="1" applyProtection="1">
      <protection locked="0"/>
    </xf>
    <xf numFmtId="0" fontId="15" fillId="0" borderId="9" xfId="3" applyFont="1" applyBorder="1" applyAlignment="1">
      <alignment horizontal="left"/>
    </xf>
    <xf numFmtId="164" fontId="18" fillId="0" borderId="16" xfId="20" applyNumberFormat="1" applyFont="1" applyBorder="1" applyProtection="1">
      <protection locked="0"/>
    </xf>
    <xf numFmtId="164" fontId="18" fillId="0" borderId="3" xfId="20" applyNumberFormat="1" applyFont="1" applyBorder="1" applyProtection="1">
      <protection locked="0"/>
    </xf>
    <xf numFmtId="0" fontId="15" fillId="0" borderId="0" xfId="3" applyFont="1"/>
    <xf numFmtId="0" fontId="15" fillId="0" borderId="0" xfId="3" applyFont="1" applyAlignment="1">
      <alignment horizontal="center"/>
    </xf>
    <xf numFmtId="0" fontId="18" fillId="0" borderId="7" xfId="3" applyNumberFormat="1" applyFont="1" applyBorder="1" applyAlignment="1" applyProtection="1">
      <alignment horizontal="left"/>
      <protection locked="0"/>
    </xf>
    <xf numFmtId="0" fontId="18" fillId="0" borderId="11" xfId="3" applyNumberFormat="1" applyFont="1" applyBorder="1" applyAlignment="1" applyProtection="1">
      <alignment horizontal="left"/>
      <protection locked="0"/>
    </xf>
    <xf numFmtId="38" fontId="15" fillId="0" borderId="0" xfId="3" applyNumberFormat="1" applyFont="1"/>
    <xf numFmtId="0" fontId="15" fillId="0" borderId="0" xfId="3" applyFont="1" applyAlignment="1">
      <alignment horizontal="left"/>
    </xf>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0" fontId="15" fillId="0" borderId="18" xfId="3" applyFont="1" applyBorder="1" applyAlignment="1">
      <alignment horizontal="center"/>
    </xf>
    <xf numFmtId="164" fontId="18" fillId="3" borderId="3" xfId="20" applyNumberFormat="1" applyFont="1" applyFill="1" applyBorder="1" applyProtection="1">
      <protection locked="0"/>
    </xf>
    <xf numFmtId="0" fontId="15" fillId="0" borderId="9" xfId="3" applyFont="1" applyBorder="1" applyAlignment="1">
      <alignment horizontal="left"/>
    </xf>
    <xf numFmtId="164" fontId="18" fillId="0" borderId="16" xfId="20" applyNumberFormat="1" applyFont="1" applyBorder="1" applyProtection="1">
      <protection locked="0"/>
    </xf>
    <xf numFmtId="164" fontId="18" fillId="0" borderId="3" xfId="20" applyNumberFormat="1" applyFont="1" applyBorder="1" applyProtection="1">
      <protection locked="0"/>
    </xf>
    <xf numFmtId="0" fontId="15" fillId="0" borderId="0" xfId="3" applyFont="1"/>
    <xf numFmtId="0" fontId="15" fillId="0" borderId="0" xfId="3" applyFont="1" applyAlignment="1">
      <alignment horizontal="center"/>
    </xf>
    <xf numFmtId="0" fontId="18" fillId="0" borderId="7" xfId="3" applyNumberFormat="1" applyFont="1" applyBorder="1" applyAlignment="1" applyProtection="1">
      <alignment horizontal="left"/>
      <protection locked="0"/>
    </xf>
    <xf numFmtId="0" fontId="18" fillId="0" borderId="11" xfId="3" applyNumberFormat="1" applyFont="1" applyBorder="1" applyAlignment="1" applyProtection="1">
      <alignment horizontal="left"/>
      <protection locked="0"/>
    </xf>
    <xf numFmtId="38" fontId="15" fillId="0" borderId="0" xfId="3" applyNumberFormat="1" applyFont="1"/>
    <xf numFmtId="0" fontId="15" fillId="0" borderId="0" xfId="3" applyFont="1" applyAlignment="1">
      <alignment horizontal="left"/>
    </xf>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0" fontId="15" fillId="0" borderId="18" xfId="3" applyFont="1" applyBorder="1" applyAlignment="1">
      <alignment horizontal="center"/>
    </xf>
    <xf numFmtId="164" fontId="18" fillId="3" borderId="3" xfId="20" applyNumberFormat="1" applyFont="1" applyFill="1" applyBorder="1" applyProtection="1">
      <protection locked="0"/>
    </xf>
    <xf numFmtId="0" fontId="15" fillId="0" borderId="9" xfId="3" applyFont="1" applyBorder="1" applyAlignment="1">
      <alignment horizontal="left"/>
    </xf>
    <xf numFmtId="164" fontId="18" fillId="0" borderId="16" xfId="20" applyNumberFormat="1" applyFont="1" applyBorder="1" applyProtection="1">
      <protection locked="0"/>
    </xf>
    <xf numFmtId="164" fontId="18" fillId="0" borderId="3" xfId="20" applyNumberFormat="1" applyFont="1" applyBorder="1" applyProtection="1">
      <protection locked="0"/>
    </xf>
    <xf numFmtId="0" fontId="15" fillId="0" borderId="0" xfId="3" applyFont="1"/>
    <xf numFmtId="0" fontId="15" fillId="0" borderId="0" xfId="3" applyFont="1" applyAlignment="1">
      <alignment horizontal="center"/>
    </xf>
    <xf numFmtId="0" fontId="18" fillId="0" borderId="7" xfId="3" applyNumberFormat="1" applyFont="1" applyBorder="1" applyAlignment="1" applyProtection="1">
      <alignment horizontal="left"/>
      <protection locked="0"/>
    </xf>
    <xf numFmtId="0" fontId="18" fillId="0" borderId="11" xfId="3" applyNumberFormat="1" applyFont="1" applyBorder="1" applyAlignment="1" applyProtection="1">
      <alignment horizontal="left"/>
      <protection locked="0"/>
    </xf>
    <xf numFmtId="38" fontId="15" fillId="0" borderId="0" xfId="3" applyNumberFormat="1" applyFont="1"/>
    <xf numFmtId="0" fontId="15" fillId="0" borderId="0" xfId="3" applyFont="1" applyAlignment="1">
      <alignment horizontal="left"/>
    </xf>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0" fontId="15" fillId="0" borderId="18" xfId="3" applyFont="1" applyBorder="1" applyAlignment="1">
      <alignment horizontal="center"/>
    </xf>
    <xf numFmtId="164" fontId="18" fillId="3" borderId="3" xfId="20" applyNumberFormat="1" applyFont="1" applyFill="1" applyBorder="1" applyProtection="1">
      <protection locked="0"/>
    </xf>
    <xf numFmtId="0" fontId="15" fillId="0" borderId="9" xfId="3" applyFont="1" applyBorder="1" applyAlignment="1">
      <alignment horizontal="left"/>
    </xf>
    <xf numFmtId="164" fontId="18" fillId="0" borderId="16" xfId="20" applyNumberFormat="1" applyFont="1" applyBorder="1" applyProtection="1">
      <protection locked="0"/>
    </xf>
    <xf numFmtId="164" fontId="18" fillId="0" borderId="3" xfId="20" applyNumberFormat="1" applyFont="1" applyBorder="1" applyProtection="1">
      <protection locked="0"/>
    </xf>
    <xf numFmtId="0" fontId="15" fillId="0" borderId="0" xfId="3" applyFont="1"/>
    <xf numFmtId="0" fontId="15" fillId="0" borderId="0" xfId="3" applyFont="1" applyAlignment="1">
      <alignment horizontal="center"/>
    </xf>
    <xf numFmtId="0" fontId="18" fillId="0" borderId="7" xfId="3" applyNumberFormat="1" applyFont="1" applyBorder="1" applyAlignment="1" applyProtection="1">
      <alignment horizontal="left"/>
      <protection locked="0"/>
    </xf>
    <xf numFmtId="0" fontId="18" fillId="0" borderId="11" xfId="3" applyNumberFormat="1" applyFont="1" applyBorder="1" applyAlignment="1" applyProtection="1">
      <alignment horizontal="left"/>
      <protection locked="0"/>
    </xf>
    <xf numFmtId="0" fontId="15" fillId="0" borderId="0" xfId="3" applyFont="1" applyAlignment="1">
      <alignment horizontal="left"/>
    </xf>
    <xf numFmtId="0" fontId="15" fillId="3" borderId="18" xfId="3" applyFont="1" applyFill="1" applyBorder="1" applyAlignment="1">
      <alignment horizontal="center"/>
    </xf>
    <xf numFmtId="164" fontId="18" fillId="3" borderId="0" xfId="20" applyNumberFormat="1" applyFont="1" applyFill="1" applyBorder="1" applyProtection="1">
      <protection locked="0"/>
    </xf>
    <xf numFmtId="0" fontId="15" fillId="0" borderId="9" xfId="3" applyFont="1" applyBorder="1" applyAlignment="1">
      <alignment horizontal="left"/>
    </xf>
    <xf numFmtId="164" fontId="18" fillId="0" borderId="1" xfId="20" applyNumberFormat="1" applyFont="1" applyBorder="1" applyProtection="1">
      <protection locked="0"/>
    </xf>
    <xf numFmtId="164" fontId="18" fillId="0" borderId="0" xfId="20" applyNumberFormat="1" applyFont="1" applyBorder="1" applyProtection="1">
      <protection locked="0"/>
    </xf>
    <xf numFmtId="164" fontId="27" fillId="0" borderId="1" xfId="20" applyNumberFormat="1" applyFont="1" applyBorder="1" applyProtection="1">
      <protection locked="0"/>
    </xf>
    <xf numFmtId="164" fontId="27" fillId="0" borderId="0" xfId="20" applyNumberFormat="1" applyFont="1" applyBorder="1" applyProtection="1">
      <protection locked="0"/>
    </xf>
    <xf numFmtId="0" fontId="15" fillId="0" borderId="7" xfId="3" applyNumberFormat="1" applyFont="1" applyBorder="1" applyAlignment="1" applyProtection="1">
      <alignment horizontal="left"/>
      <protection locked="0"/>
    </xf>
    <xf numFmtId="0" fontId="15" fillId="0" borderId="0" xfId="3" applyFont="1"/>
    <xf numFmtId="0" fontId="15" fillId="0" borderId="0" xfId="3" applyFont="1" applyAlignment="1">
      <alignment horizontal="center"/>
    </xf>
    <xf numFmtId="0" fontId="18" fillId="0" borderId="7" xfId="3" applyNumberFormat="1" applyFont="1" applyBorder="1" applyAlignment="1" applyProtection="1">
      <alignment horizontal="left"/>
      <protection locked="0"/>
    </xf>
    <xf numFmtId="0" fontId="18" fillId="0" borderId="11" xfId="3" applyNumberFormat="1" applyFont="1" applyBorder="1" applyAlignment="1" applyProtection="1">
      <alignment horizontal="left"/>
      <protection locked="0"/>
    </xf>
    <xf numFmtId="0" fontId="15" fillId="0" borderId="0" xfId="3" applyFont="1" applyAlignment="1">
      <alignment horizontal="left"/>
    </xf>
    <xf numFmtId="0" fontId="15" fillId="3" borderId="18" xfId="3" applyFont="1" applyFill="1" applyBorder="1" applyAlignment="1">
      <alignment horizontal="center"/>
    </xf>
    <xf numFmtId="0" fontId="15" fillId="0" borderId="9" xfId="3" applyFont="1" applyBorder="1" applyAlignment="1">
      <alignment horizontal="left"/>
    </xf>
    <xf numFmtId="0" fontId="15" fillId="0" borderId="7" xfId="3" applyNumberFormat="1" applyFont="1" applyBorder="1" applyAlignment="1" applyProtection="1">
      <alignment horizontal="left"/>
      <protection locked="0"/>
    </xf>
    <xf numFmtId="0" fontId="15" fillId="0" borderId="0" xfId="3" applyFont="1"/>
    <xf numFmtId="0" fontId="15" fillId="0" borderId="0" xfId="3" applyFont="1" applyAlignment="1">
      <alignment horizontal="center"/>
    </xf>
    <xf numFmtId="0" fontId="18" fillId="0" borderId="7" xfId="3" applyNumberFormat="1" applyFont="1" applyBorder="1" applyAlignment="1" applyProtection="1">
      <alignment horizontal="left"/>
      <protection locked="0"/>
    </xf>
    <xf numFmtId="0" fontId="18" fillId="0" borderId="11" xfId="3" applyNumberFormat="1" applyFont="1" applyBorder="1" applyAlignment="1" applyProtection="1">
      <alignment horizontal="left"/>
      <protection locked="0"/>
    </xf>
    <xf numFmtId="0" fontId="15" fillId="0" borderId="0" xfId="3" applyFont="1" applyAlignment="1">
      <alignment horizontal="left"/>
    </xf>
    <xf numFmtId="0" fontId="15" fillId="3" borderId="18" xfId="3" applyFont="1" applyFill="1" applyBorder="1" applyAlignment="1">
      <alignment horizontal="center"/>
    </xf>
    <xf numFmtId="0" fontId="15" fillId="0" borderId="9" xfId="3" applyFont="1" applyBorder="1" applyAlignment="1">
      <alignment horizontal="left"/>
    </xf>
    <xf numFmtId="0" fontId="15" fillId="0" borderId="7" xfId="3" applyNumberFormat="1" applyFont="1" applyBorder="1" applyAlignment="1" applyProtection="1">
      <alignment horizontal="left"/>
      <protection locked="0"/>
    </xf>
    <xf numFmtId="0" fontId="15" fillId="0" borderId="0" xfId="3" applyFont="1"/>
    <xf numFmtId="0" fontId="15" fillId="0" borderId="0" xfId="3" applyFont="1" applyAlignment="1">
      <alignment horizontal="center"/>
    </xf>
    <xf numFmtId="0" fontId="18" fillId="0" borderId="7" xfId="3" applyNumberFormat="1" applyFont="1" applyBorder="1" applyAlignment="1" applyProtection="1">
      <alignment horizontal="left"/>
      <protection locked="0"/>
    </xf>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0" fontId="15" fillId="0" borderId="18" xfId="3" applyFont="1" applyBorder="1" applyAlignment="1">
      <alignment horizontal="center"/>
    </xf>
    <xf numFmtId="0" fontId="15" fillId="0" borderId="4" xfId="3" applyNumberFormat="1" applyFont="1" applyBorder="1" applyAlignment="1" applyProtection="1">
      <alignment horizontal="left"/>
      <protection locked="0"/>
    </xf>
    <xf numFmtId="0" fontId="15" fillId="0" borderId="7" xfId="3" applyNumberFormat="1" applyFont="1" applyBorder="1" applyAlignment="1" applyProtection="1">
      <alignment horizontal="left"/>
      <protection locked="0"/>
    </xf>
    <xf numFmtId="0" fontId="18" fillId="0" borderId="0" xfId="3" applyNumberFormat="1" applyFont="1" applyFill="1" applyBorder="1" applyAlignment="1" applyProtection="1">
      <alignment horizontal="left"/>
      <protection locked="0"/>
    </xf>
    <xf numFmtId="0" fontId="15" fillId="0" borderId="0" xfId="3" applyFont="1" applyFill="1"/>
    <xf numFmtId="0" fontId="15" fillId="0" borderId="0" xfId="3" applyFont="1"/>
    <xf numFmtId="0" fontId="15" fillId="0" borderId="0" xfId="3" applyFont="1" applyAlignment="1">
      <alignment horizontal="center"/>
    </xf>
    <xf numFmtId="0" fontId="18" fillId="0" borderId="7" xfId="3" applyNumberFormat="1" applyFont="1" applyBorder="1" applyAlignment="1" applyProtection="1">
      <alignment horizontal="left"/>
      <protection locked="0"/>
    </xf>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0" fontId="15" fillId="0" borderId="18" xfId="3" applyFont="1" applyBorder="1" applyAlignment="1">
      <alignment horizontal="center"/>
    </xf>
    <xf numFmtId="164" fontId="18" fillId="3" borderId="0" xfId="20" applyNumberFormat="1" applyFont="1" applyFill="1" applyBorder="1" applyProtection="1">
      <protection locked="0"/>
    </xf>
    <xf numFmtId="164" fontId="18" fillId="0" borderId="1" xfId="20" applyNumberFormat="1" applyFont="1" applyBorder="1" applyProtection="1">
      <protection locked="0"/>
    </xf>
    <xf numFmtId="164" fontId="18" fillId="0" borderId="0" xfId="20" applyNumberFormat="1" applyFont="1" applyBorder="1" applyProtection="1">
      <protection locked="0"/>
    </xf>
    <xf numFmtId="0" fontId="15" fillId="0" borderId="4" xfId="3" applyNumberFormat="1" applyFont="1" applyBorder="1" applyAlignment="1" applyProtection="1">
      <alignment horizontal="left"/>
      <protection locked="0"/>
    </xf>
    <xf numFmtId="0" fontId="15" fillId="0" borderId="7" xfId="3" applyNumberFormat="1" applyFont="1" applyBorder="1" applyAlignment="1" applyProtection="1">
      <alignment horizontal="left"/>
      <protection locked="0"/>
    </xf>
    <xf numFmtId="0" fontId="18" fillId="0" borderId="0" xfId="3" applyNumberFormat="1" applyFont="1" applyFill="1" applyBorder="1" applyAlignment="1" applyProtection="1">
      <alignment horizontal="left"/>
      <protection locked="0"/>
    </xf>
    <xf numFmtId="0" fontId="15" fillId="0" borderId="0" xfId="3" applyFont="1" applyFill="1"/>
    <xf numFmtId="0" fontId="15" fillId="0" borderId="0" xfId="3" applyFont="1"/>
    <xf numFmtId="0" fontId="15" fillId="0" borderId="0" xfId="3" applyFont="1" applyAlignment="1">
      <alignment horizontal="center"/>
    </xf>
    <xf numFmtId="0" fontId="18" fillId="0" borderId="7" xfId="3" applyNumberFormat="1" applyFont="1" applyBorder="1" applyAlignment="1" applyProtection="1">
      <alignment horizontal="left"/>
      <protection locked="0"/>
    </xf>
    <xf numFmtId="0" fontId="15" fillId="0" borderId="0" xfId="3" applyFont="1" applyAlignment="1">
      <alignment horizontal="left"/>
    </xf>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0" fontId="15" fillId="0" borderId="18" xfId="3" applyFont="1" applyBorder="1" applyAlignment="1">
      <alignment horizontal="center"/>
    </xf>
    <xf numFmtId="164" fontId="18" fillId="3" borderId="0" xfId="20" applyNumberFormat="1" applyFont="1" applyFill="1" applyBorder="1" applyProtection="1">
      <protection locked="0"/>
    </xf>
    <xf numFmtId="164" fontId="18" fillId="0" borderId="1" xfId="20" applyNumberFormat="1" applyFont="1" applyBorder="1" applyProtection="1">
      <protection locked="0"/>
    </xf>
    <xf numFmtId="164" fontId="18" fillId="0" borderId="0" xfId="20" applyNumberFormat="1" applyFont="1" applyBorder="1" applyProtection="1">
      <protection locked="0"/>
    </xf>
    <xf numFmtId="0" fontId="15" fillId="0" borderId="4" xfId="3" applyNumberFormat="1" applyFont="1" applyBorder="1" applyAlignment="1" applyProtection="1">
      <alignment horizontal="left"/>
      <protection locked="0"/>
    </xf>
    <xf numFmtId="0" fontId="15" fillId="0" borderId="7" xfId="3" applyNumberFormat="1" applyFont="1" applyBorder="1" applyAlignment="1" applyProtection="1">
      <alignment horizontal="left"/>
      <protection locked="0"/>
    </xf>
    <xf numFmtId="0" fontId="18" fillId="0" borderId="0" xfId="3" applyNumberFormat="1" applyFont="1" applyFill="1" applyBorder="1" applyAlignment="1" applyProtection="1">
      <alignment horizontal="left"/>
      <protection locked="0"/>
    </xf>
    <xf numFmtId="0" fontId="15" fillId="0" borderId="0" xfId="3" applyFont="1" applyFill="1"/>
    <xf numFmtId="0" fontId="15" fillId="0" borderId="0" xfId="3" applyFont="1"/>
    <xf numFmtId="0" fontId="15" fillId="0" borderId="0" xfId="3" applyFont="1" applyAlignment="1">
      <alignment horizontal="center"/>
    </xf>
    <xf numFmtId="0" fontId="18" fillId="0" borderId="7" xfId="3" applyNumberFormat="1" applyFont="1" applyBorder="1" applyAlignment="1" applyProtection="1">
      <alignment horizontal="left"/>
      <protection locked="0"/>
    </xf>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0" fontId="15" fillId="0" borderId="18" xfId="3" applyFont="1" applyBorder="1" applyAlignment="1">
      <alignment horizontal="center"/>
    </xf>
    <xf numFmtId="164" fontId="18" fillId="3" borderId="0" xfId="20" applyNumberFormat="1" applyFont="1" applyFill="1" applyBorder="1" applyProtection="1">
      <protection locked="0"/>
    </xf>
    <xf numFmtId="164" fontId="18" fillId="0" borderId="1" xfId="20" applyNumberFormat="1" applyFont="1" applyBorder="1" applyProtection="1">
      <protection locked="0"/>
    </xf>
    <xf numFmtId="164" fontId="18" fillId="0" borderId="0" xfId="20" applyNumberFormat="1" applyFont="1" applyBorder="1" applyProtection="1">
      <protection locked="0"/>
    </xf>
    <xf numFmtId="0" fontId="15" fillId="0" borderId="4" xfId="3" applyNumberFormat="1" applyFont="1" applyBorder="1" applyAlignment="1" applyProtection="1">
      <alignment horizontal="left"/>
      <protection locked="0"/>
    </xf>
    <xf numFmtId="0" fontId="15" fillId="0" borderId="7" xfId="3" applyNumberFormat="1" applyFont="1" applyBorder="1" applyAlignment="1" applyProtection="1">
      <alignment horizontal="left"/>
      <protection locked="0"/>
    </xf>
    <xf numFmtId="0" fontId="18" fillId="0" borderId="0" xfId="3" applyNumberFormat="1" applyFont="1" applyFill="1" applyBorder="1" applyAlignment="1" applyProtection="1">
      <alignment horizontal="left"/>
      <protection locked="0"/>
    </xf>
    <xf numFmtId="0" fontId="15" fillId="0" borderId="0" xfId="3" applyFont="1" applyFill="1"/>
    <xf numFmtId="0" fontId="15" fillId="0" borderId="0" xfId="3" applyFont="1"/>
    <xf numFmtId="0" fontId="15" fillId="0" borderId="14" xfId="3" applyNumberFormat="1" applyFont="1" applyBorder="1" applyAlignment="1" applyProtection="1">
      <alignment horizontal="center"/>
      <protection locked="0"/>
    </xf>
    <xf numFmtId="0" fontId="15" fillId="3" borderId="5" xfId="3" applyFont="1" applyFill="1" applyBorder="1" applyAlignment="1">
      <alignment horizontal="center"/>
    </xf>
    <xf numFmtId="0" fontId="15" fillId="0" borderId="5" xfId="3" applyNumberFormat="1" applyFont="1" applyBorder="1" applyAlignment="1" applyProtection="1">
      <alignment horizontal="center"/>
      <protection locked="0"/>
    </xf>
    <xf numFmtId="38" fontId="15" fillId="0" borderId="5" xfId="3" applyNumberFormat="1" applyFont="1" applyBorder="1" applyAlignment="1" applyProtection="1">
      <alignment horizontal="center"/>
      <protection locked="0"/>
    </xf>
    <xf numFmtId="0" fontId="15" fillId="0" borderId="5" xfId="3" applyFont="1" applyBorder="1" applyAlignment="1">
      <alignment horizontal="center"/>
    </xf>
    <xf numFmtId="0" fontId="15" fillId="5" borderId="5" xfId="3" applyFont="1" applyFill="1" applyBorder="1" applyAlignment="1">
      <alignment horizontal="center"/>
    </xf>
    <xf numFmtId="0" fontId="15" fillId="0" borderId="5" xfId="3" applyFont="1" applyFill="1" applyBorder="1" applyAlignment="1">
      <alignment horizontal="center"/>
    </xf>
    <xf numFmtId="0" fontId="15" fillId="3" borderId="5" xfId="3" applyFont="1" applyFill="1" applyBorder="1" applyAlignment="1">
      <alignment horizontal="centerContinuous"/>
    </xf>
    <xf numFmtId="0" fontId="15" fillId="0" borderId="6" xfId="3" applyFont="1" applyFill="1" applyBorder="1" applyAlignment="1">
      <alignment horizontal="center"/>
    </xf>
    <xf numFmtId="0" fontId="15" fillId="0" borderId="0" xfId="3" applyFont="1" applyAlignment="1">
      <alignment horizontal="center"/>
    </xf>
    <xf numFmtId="0" fontId="15" fillId="0" borderId="9" xfId="3" applyFont="1" applyBorder="1" applyAlignment="1">
      <alignment horizontal="center"/>
    </xf>
    <xf numFmtId="0" fontId="15" fillId="0" borderId="15" xfId="3" applyNumberFormat="1" applyFont="1" applyBorder="1" applyAlignment="1" applyProtection="1">
      <alignment horizontal="center"/>
      <protection locked="0"/>
    </xf>
    <xf numFmtId="0" fontId="15" fillId="3" borderId="2" xfId="3" applyFont="1" applyFill="1" applyBorder="1" applyAlignment="1">
      <alignment horizontal="center"/>
    </xf>
    <xf numFmtId="0" fontId="15" fillId="0" borderId="2" xfId="3" applyNumberFormat="1" applyFont="1" applyBorder="1" applyAlignment="1" applyProtection="1">
      <alignment horizontal="center"/>
      <protection locked="0"/>
    </xf>
    <xf numFmtId="38" fontId="15" fillId="0" borderId="2" xfId="3" applyNumberFormat="1" applyFont="1" applyBorder="1" applyAlignment="1" applyProtection="1">
      <alignment horizontal="center"/>
      <protection locked="0"/>
    </xf>
    <xf numFmtId="0" fontId="15" fillId="0" borderId="2" xfId="3" applyFont="1" applyBorder="1" applyAlignment="1">
      <alignment horizontal="center"/>
    </xf>
    <xf numFmtId="0" fontId="15" fillId="5" borderId="2" xfId="3" applyFont="1" applyFill="1" applyBorder="1" applyAlignment="1">
      <alignment horizontal="center"/>
    </xf>
    <xf numFmtId="0" fontId="15" fillId="0" borderId="2" xfId="3" applyFont="1" applyFill="1" applyBorder="1" applyAlignment="1">
      <alignment horizontal="center"/>
    </xf>
    <xf numFmtId="0" fontId="15" fillId="3" borderId="2" xfId="3" applyFont="1" applyFill="1" applyBorder="1"/>
    <xf numFmtId="0" fontId="15" fillId="0" borderId="10" xfId="3" applyFont="1" applyFill="1" applyBorder="1" applyAlignment="1">
      <alignment horizontal="center"/>
    </xf>
    <xf numFmtId="0" fontId="16" fillId="0" borderId="4" xfId="3" applyFont="1" applyBorder="1" applyAlignment="1">
      <alignment horizontal="left"/>
    </xf>
    <xf numFmtId="0" fontId="15" fillId="0" borderId="5" xfId="3" applyFont="1" applyBorder="1"/>
    <xf numFmtId="0" fontId="18" fillId="0" borderId="7" xfId="3" applyNumberFormat="1" applyFont="1" applyBorder="1" applyAlignment="1" applyProtection="1">
      <alignment horizontal="left"/>
      <protection locked="0"/>
    </xf>
    <xf numFmtId="37" fontId="18" fillId="0" borderId="1" xfId="12" applyNumberFormat="1" applyFont="1" applyBorder="1" applyProtection="1">
      <protection locked="0"/>
    </xf>
    <xf numFmtId="37" fontId="18" fillId="3" borderId="0" xfId="12" applyNumberFormat="1" applyFont="1" applyFill="1" applyBorder="1" applyProtection="1">
      <protection locked="0"/>
    </xf>
    <xf numFmtId="0" fontId="18" fillId="0" borderId="7" xfId="3" applyFont="1" applyBorder="1" applyAlignment="1">
      <alignment horizontal="left"/>
    </xf>
    <xf numFmtId="37" fontId="18" fillId="0" borderId="1" xfId="12" applyNumberFormat="1" applyFont="1" applyBorder="1" applyAlignment="1" applyProtection="1">
      <alignment horizontal="right"/>
      <protection locked="0"/>
    </xf>
    <xf numFmtId="37" fontId="18" fillId="0" borderId="16" xfId="12" applyNumberFormat="1" applyFont="1" applyBorder="1" applyAlignment="1" applyProtection="1">
      <alignment horizontal="right"/>
      <protection locked="0"/>
    </xf>
    <xf numFmtId="37" fontId="18" fillId="3" borderId="3" xfId="12" applyNumberFormat="1" applyFont="1" applyFill="1" applyBorder="1" applyProtection="1">
      <protection locked="0"/>
    </xf>
    <xf numFmtId="0" fontId="18" fillId="3" borderId="7" xfId="3" applyFont="1" applyFill="1" applyBorder="1" applyAlignment="1">
      <alignment horizontal="left"/>
    </xf>
    <xf numFmtId="165" fontId="15" fillId="0" borderId="14" xfId="12" applyNumberFormat="1" applyFont="1" applyBorder="1" applyAlignment="1" applyProtection="1">
      <alignment horizontal="center"/>
      <protection locked="0"/>
    </xf>
    <xf numFmtId="165" fontId="15" fillId="0" borderId="5" xfId="12" applyNumberFormat="1" applyFont="1" applyBorder="1" applyAlignment="1" applyProtection="1">
      <alignment horizontal="center"/>
      <protection locked="0"/>
    </xf>
    <xf numFmtId="167" fontId="18" fillId="0" borderId="1" xfId="12" applyNumberFormat="1" applyFont="1" applyBorder="1" applyProtection="1">
      <protection locked="0"/>
    </xf>
    <xf numFmtId="167" fontId="18" fillId="3" borderId="0" xfId="12" applyNumberFormat="1" applyFont="1" applyFill="1" applyBorder="1" applyProtection="1">
      <protection locked="0"/>
    </xf>
    <xf numFmtId="167" fontId="18" fillId="0" borderId="1" xfId="12" applyNumberFormat="1" applyFont="1" applyBorder="1" applyAlignment="1" applyProtection="1">
      <alignment horizontal="right"/>
      <protection locked="0"/>
    </xf>
    <xf numFmtId="167" fontId="18" fillId="0" borderId="16" xfId="12" applyNumberFormat="1" applyFont="1" applyBorder="1" applyAlignment="1" applyProtection="1">
      <alignment horizontal="right"/>
      <protection locked="0"/>
    </xf>
    <xf numFmtId="167" fontId="18" fillId="3" borderId="3" xfId="12" applyNumberFormat="1" applyFont="1" applyFill="1" applyBorder="1" applyProtection="1">
      <protection locked="0"/>
    </xf>
    <xf numFmtId="0" fontId="15" fillId="0" borderId="7" xfId="3" applyFont="1" applyBorder="1" applyAlignment="1">
      <alignment horizontal="left"/>
    </xf>
    <xf numFmtId="37" fontId="18" fillId="0" borderId="1" xfId="12" applyNumberFormat="1" applyFont="1" applyBorder="1" applyAlignment="1" applyProtection="1">
      <alignment horizontal="center"/>
      <protection locked="0"/>
    </xf>
    <xf numFmtId="37" fontId="18" fillId="3" borderId="0" xfId="12" applyNumberFormat="1" applyFont="1" applyFill="1" applyBorder="1"/>
    <xf numFmtId="37" fontId="18" fillId="0" borderId="0" xfId="12" applyNumberFormat="1" applyFont="1" applyBorder="1" applyAlignment="1" applyProtection="1">
      <alignment horizontal="center"/>
      <protection locked="0"/>
    </xf>
    <xf numFmtId="0" fontId="18" fillId="0" borderId="9" xfId="3" applyFont="1" applyBorder="1" applyAlignment="1">
      <alignment horizontal="left"/>
    </xf>
    <xf numFmtId="167" fontId="18" fillId="0" borderId="15" xfId="12" applyNumberFormat="1" applyFont="1" applyBorder="1" applyAlignment="1" applyProtection="1">
      <alignment horizontal="center"/>
      <protection locked="0"/>
    </xf>
    <xf numFmtId="167" fontId="18" fillId="3" borderId="2" xfId="12" applyNumberFormat="1" applyFont="1" applyFill="1" applyBorder="1"/>
    <xf numFmtId="167" fontId="18" fillId="0" borderId="2" xfId="12" applyNumberFormat="1" applyFont="1" applyBorder="1" applyAlignment="1" applyProtection="1">
      <alignment horizontal="center"/>
      <protection locked="0"/>
    </xf>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0" fontId="15" fillId="0" borderId="18" xfId="3" applyFont="1" applyBorder="1" applyAlignment="1">
      <alignment horizontal="center"/>
    </xf>
    <xf numFmtId="164" fontId="18" fillId="3" borderId="0" xfId="20" applyNumberFormat="1" applyFont="1" applyFill="1" applyBorder="1" applyProtection="1">
      <protection locked="0"/>
    </xf>
    <xf numFmtId="164" fontId="18" fillId="0" borderId="1" xfId="20" applyNumberFormat="1" applyFont="1" applyBorder="1" applyProtection="1">
      <protection locked="0"/>
    </xf>
    <xf numFmtId="164" fontId="18" fillId="0" borderId="0" xfId="20" applyNumberFormat="1" applyFont="1" applyBorder="1" applyProtection="1">
      <protection locked="0"/>
    </xf>
    <xf numFmtId="0" fontId="15" fillId="0" borderId="4" xfId="3" applyNumberFormat="1" applyFont="1" applyBorder="1" applyAlignment="1" applyProtection="1">
      <alignment horizontal="left"/>
      <protection locked="0"/>
    </xf>
    <xf numFmtId="0" fontId="18" fillId="0" borderId="0" xfId="3" applyNumberFormat="1" applyFont="1" applyFill="1" applyBorder="1" applyAlignment="1" applyProtection="1">
      <alignment horizontal="left"/>
      <protection locked="0"/>
    </xf>
    <xf numFmtId="0" fontId="15" fillId="0" borderId="0" xfId="3" applyFont="1" applyFill="1"/>
    <xf numFmtId="167" fontId="18" fillId="0" borderId="2" xfId="21" applyNumberFormat="1" applyFont="1" applyBorder="1" applyAlignment="1">
      <alignment horizontal="center"/>
    </xf>
    <xf numFmtId="38" fontId="15" fillId="0" borderId="0" xfId="3" applyNumberFormat="1" applyFont="1" applyAlignment="1">
      <alignment horizontal="center"/>
    </xf>
    <xf numFmtId="165" fontId="15" fillId="3" borderId="0" xfId="12" applyNumberFormat="1" applyFont="1" applyFill="1" applyBorder="1"/>
    <xf numFmtId="37" fontId="18" fillId="0" borderId="0" xfId="12" applyNumberFormat="1" applyFont="1" applyBorder="1" applyProtection="1">
      <protection locked="0"/>
    </xf>
    <xf numFmtId="37" fontId="18" fillId="0" borderId="0" xfId="12" applyNumberFormat="1" applyFont="1" applyBorder="1" applyAlignment="1">
      <alignment horizontal="right"/>
    </xf>
    <xf numFmtId="37" fontId="18" fillId="0" borderId="0" xfId="12" applyNumberFormat="1" applyFont="1" applyBorder="1" applyAlignment="1" applyProtection="1">
      <alignment horizontal="right"/>
      <protection locked="0"/>
    </xf>
    <xf numFmtId="37" fontId="18" fillId="0" borderId="3" xfId="12" applyNumberFormat="1" applyFont="1" applyBorder="1" applyAlignment="1" applyProtection="1">
      <alignment horizontal="right"/>
      <protection locked="0"/>
    </xf>
    <xf numFmtId="165" fontId="18" fillId="3" borderId="3" xfId="12" applyNumberFormat="1" applyFont="1" applyFill="1" applyBorder="1" applyProtection="1">
      <protection locked="0"/>
    </xf>
    <xf numFmtId="165" fontId="15" fillId="0" borderId="5" xfId="12" applyNumberFormat="1" applyFont="1" applyBorder="1" applyAlignment="1">
      <alignment horizontal="center"/>
    </xf>
    <xf numFmtId="167" fontId="18" fillId="0" borderId="0" xfId="12" applyNumberFormat="1" applyFont="1" applyBorder="1" applyProtection="1">
      <protection locked="0"/>
    </xf>
    <xf numFmtId="167" fontId="18" fillId="0" borderId="0" xfId="12" applyNumberFormat="1" applyFont="1" applyBorder="1" applyAlignment="1" applyProtection="1">
      <alignment horizontal="right"/>
      <protection locked="0"/>
    </xf>
    <xf numFmtId="167" fontId="18" fillId="0" borderId="3" xfId="12" applyNumberFormat="1" applyFont="1" applyBorder="1" applyAlignment="1" applyProtection="1">
      <alignment horizontal="right"/>
      <protection locked="0"/>
    </xf>
    <xf numFmtId="37" fontId="18" fillId="0" borderId="0" xfId="12" applyNumberFormat="1" applyFont="1" applyBorder="1" applyAlignment="1">
      <alignment horizontal="center"/>
    </xf>
    <xf numFmtId="167" fontId="18" fillId="0" borderId="2" xfId="12" applyNumberFormat="1" applyFont="1" applyBorder="1" applyAlignment="1">
      <alignment horizontal="center"/>
    </xf>
    <xf numFmtId="165" fontId="15" fillId="3" borderId="2" xfId="12" applyNumberFormat="1" applyFont="1" applyFill="1" applyBorder="1"/>
    <xf numFmtId="169" fontId="18" fillId="0" borderId="1" xfId="3" applyNumberFormat="1" applyFont="1" applyBorder="1"/>
    <xf numFmtId="0" fontId="15" fillId="0" borderId="0" xfId="3" applyFont="1"/>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0" fontId="15" fillId="0" borderId="18" xfId="3" applyFont="1" applyBorder="1" applyAlignment="1">
      <alignment horizontal="center"/>
    </xf>
    <xf numFmtId="0" fontId="15" fillId="0" borderId="0" xfId="3" applyFont="1" applyAlignment="1">
      <alignment horizontal="center"/>
    </xf>
    <xf numFmtId="0" fontId="15" fillId="0" borderId="4" xfId="3" applyNumberFormat="1" applyFont="1" applyBorder="1" applyAlignment="1" applyProtection="1">
      <alignment horizontal="left"/>
      <protection locked="0"/>
    </xf>
    <xf numFmtId="0" fontId="18" fillId="0" borderId="7" xfId="3" applyNumberFormat="1" applyFont="1" applyBorder="1" applyAlignment="1" applyProtection="1">
      <alignment horizontal="left"/>
      <protection locked="0"/>
    </xf>
    <xf numFmtId="164" fontId="15" fillId="3" borderId="0" xfId="1" applyNumberFormat="1" applyFont="1" applyFill="1" applyBorder="1"/>
    <xf numFmtId="164" fontId="18" fillId="0" borderId="1" xfId="1" applyNumberFormat="1" applyFont="1" applyBorder="1" applyProtection="1">
      <protection locked="0"/>
    </xf>
    <xf numFmtId="164" fontId="18" fillId="3" borderId="0" xfId="1" applyNumberFormat="1" applyFont="1" applyFill="1" applyBorder="1" applyProtection="1">
      <protection locked="0"/>
    </xf>
    <xf numFmtId="164" fontId="18" fillId="0" borderId="0" xfId="1" applyNumberFormat="1" applyFont="1" applyBorder="1" applyProtection="1">
      <protection locked="0"/>
    </xf>
    <xf numFmtId="166" fontId="18" fillId="3" borderId="0" xfId="7" applyNumberFormat="1" applyFont="1" applyFill="1" applyBorder="1" applyProtection="1">
      <protection locked="0"/>
    </xf>
    <xf numFmtId="165" fontId="18" fillId="0" borderId="1" xfId="12" applyNumberFormat="1" applyFont="1" applyBorder="1" applyProtection="1">
      <protection locked="0"/>
    </xf>
    <xf numFmtId="165" fontId="18" fillId="0" borderId="0" xfId="12" applyNumberFormat="1" applyFont="1" applyBorder="1" applyProtection="1">
      <protection locked="0"/>
    </xf>
    <xf numFmtId="0" fontId="18" fillId="0" borderId="0" xfId="3" applyNumberFormat="1" applyFont="1" applyFill="1" applyBorder="1" applyAlignment="1" applyProtection="1">
      <alignment horizontal="left"/>
      <protection locked="0"/>
    </xf>
    <xf numFmtId="0" fontId="15" fillId="0" borderId="0" xfId="3" applyFont="1" applyFill="1"/>
    <xf numFmtId="0" fontId="15" fillId="0" borderId="0" xfId="3" applyFont="1"/>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0" fontId="15" fillId="0" borderId="18" xfId="3" applyFont="1" applyBorder="1" applyAlignment="1">
      <alignment horizontal="center"/>
    </xf>
    <xf numFmtId="0" fontId="15" fillId="0" borderId="0" xfId="3" applyFont="1" applyAlignment="1">
      <alignment horizontal="center"/>
    </xf>
    <xf numFmtId="0" fontId="15" fillId="0" borderId="4" xfId="3" applyNumberFormat="1" applyFont="1" applyBorder="1" applyAlignment="1" applyProtection="1">
      <alignment horizontal="left"/>
      <protection locked="0"/>
    </xf>
    <xf numFmtId="0" fontId="18" fillId="0" borderId="7" xfId="3" applyNumberFormat="1" applyFont="1" applyBorder="1" applyAlignment="1" applyProtection="1">
      <alignment horizontal="left"/>
      <protection locked="0"/>
    </xf>
    <xf numFmtId="164" fontId="15" fillId="3" borderId="0" xfId="1" applyNumberFormat="1" applyFont="1" applyFill="1" applyBorder="1"/>
    <xf numFmtId="164" fontId="18" fillId="3" borderId="0" xfId="1" applyNumberFormat="1" applyFont="1" applyFill="1" applyBorder="1" applyProtection="1">
      <protection locked="0"/>
    </xf>
    <xf numFmtId="0" fontId="18" fillId="0" borderId="0" xfId="3" applyNumberFormat="1" applyFont="1" applyFill="1" applyBorder="1" applyAlignment="1" applyProtection="1">
      <alignment horizontal="left"/>
      <protection locked="0"/>
    </xf>
    <xf numFmtId="0" fontId="15" fillId="0" borderId="0" xfId="3" applyFont="1" applyFill="1"/>
    <xf numFmtId="164" fontId="18" fillId="0" borderId="1" xfId="1" applyNumberFormat="1" applyFont="1" applyBorder="1"/>
    <xf numFmtId="164" fontId="18" fillId="0" borderId="0" xfId="1" applyNumberFormat="1" applyFont="1" applyBorder="1"/>
    <xf numFmtId="38" fontId="18" fillId="5" borderId="0" xfId="1" applyNumberFormat="1" applyFont="1" applyFill="1" applyBorder="1" applyAlignment="1">
      <alignment horizontal="center" vertical="center"/>
    </xf>
    <xf numFmtId="38" fontId="18" fillId="5" borderId="8" xfId="1" applyNumberFormat="1" applyFont="1" applyFill="1" applyBorder="1" applyAlignment="1">
      <alignment horizontal="center" vertical="center"/>
    </xf>
    <xf numFmtId="0" fontId="15" fillId="0" borderId="0" xfId="3" applyFont="1"/>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0" fontId="15" fillId="0" borderId="18" xfId="3" applyFont="1" applyBorder="1" applyAlignment="1">
      <alignment horizontal="center"/>
    </xf>
    <xf numFmtId="0" fontId="15" fillId="0" borderId="0" xfId="3" applyFont="1" applyAlignment="1">
      <alignment horizontal="center"/>
    </xf>
    <xf numFmtId="0" fontId="15" fillId="0" borderId="4" xfId="3" applyNumberFormat="1" applyFont="1" applyBorder="1" applyAlignment="1" applyProtection="1">
      <alignment horizontal="left"/>
      <protection locked="0"/>
    </xf>
    <xf numFmtId="0" fontId="18" fillId="0" borderId="7" xfId="3" applyNumberFormat="1" applyFont="1" applyBorder="1" applyAlignment="1" applyProtection="1">
      <alignment horizontal="left"/>
      <protection locked="0"/>
    </xf>
    <xf numFmtId="164" fontId="15" fillId="3" borderId="0" xfId="1" applyNumberFormat="1" applyFont="1" applyFill="1" applyBorder="1"/>
    <xf numFmtId="164" fontId="18" fillId="3" borderId="0" xfId="1" applyNumberFormat="1" applyFont="1" applyFill="1" applyBorder="1" applyProtection="1">
      <protection locked="0"/>
    </xf>
    <xf numFmtId="0" fontId="18" fillId="0" borderId="0" xfId="3" applyNumberFormat="1" applyFont="1" applyFill="1" applyBorder="1" applyAlignment="1" applyProtection="1">
      <alignment horizontal="left"/>
      <protection locked="0"/>
    </xf>
    <xf numFmtId="0" fontId="15" fillId="0" borderId="0" xfId="3" applyFont="1" applyFill="1"/>
    <xf numFmtId="164" fontId="18" fillId="0" borderId="1" xfId="1" applyNumberFormat="1" applyFont="1" applyBorder="1"/>
    <xf numFmtId="164" fontId="18" fillId="0" borderId="0" xfId="1" applyNumberFormat="1" applyFont="1" applyBorder="1"/>
    <xf numFmtId="0" fontId="15" fillId="0" borderId="0" xfId="3" applyFont="1"/>
    <xf numFmtId="0" fontId="15" fillId="3" borderId="18" xfId="3" applyFont="1" applyFill="1" applyBorder="1" applyAlignment="1">
      <alignment horizontal="center"/>
    </xf>
    <xf numFmtId="0" fontId="15" fillId="0" borderId="0" xfId="3" applyFont="1" applyAlignment="1">
      <alignment horizontal="center"/>
    </xf>
    <xf numFmtId="165" fontId="15" fillId="3" borderId="5" xfId="12" applyNumberFormat="1" applyFont="1" applyFill="1" applyBorder="1"/>
    <xf numFmtId="0" fontId="18" fillId="0" borderId="7" xfId="3" applyNumberFormat="1" applyFont="1" applyBorder="1" applyAlignment="1" applyProtection="1">
      <alignment horizontal="left"/>
      <protection locked="0"/>
    </xf>
    <xf numFmtId="164" fontId="15" fillId="0" borderId="1" xfId="1" applyNumberFormat="1" applyFont="1" applyBorder="1"/>
    <xf numFmtId="164" fontId="15" fillId="3" borderId="0" xfId="1" applyNumberFormat="1" applyFont="1" applyFill="1" applyBorder="1"/>
    <xf numFmtId="164" fontId="15" fillId="0" borderId="0" xfId="1" applyNumberFormat="1" applyFont="1" applyBorder="1"/>
    <xf numFmtId="164" fontId="18" fillId="3" borderId="0" xfId="1" applyNumberFormat="1" applyFont="1" applyFill="1" applyBorder="1" applyProtection="1">
      <protection locked="0"/>
    </xf>
    <xf numFmtId="165" fontId="18" fillId="3" borderId="0" xfId="12" applyNumberFormat="1" applyFont="1" applyFill="1" applyBorder="1" applyProtection="1">
      <protection locked="0"/>
    </xf>
    <xf numFmtId="164" fontId="18" fillId="0" borderId="1" xfId="1" applyNumberFormat="1" applyFont="1" applyBorder="1"/>
    <xf numFmtId="164" fontId="18" fillId="0" borderId="0" xfId="1" applyNumberFormat="1" applyFont="1" applyBorder="1"/>
    <xf numFmtId="37" fontId="18" fillId="0" borderId="0" xfId="21" applyNumberFormat="1" applyFont="1" applyBorder="1" applyAlignment="1">
      <alignment horizontal="center"/>
    </xf>
    <xf numFmtId="37" fontId="18" fillId="0" borderId="8" xfId="21" applyNumberFormat="1" applyFont="1" applyBorder="1" applyAlignment="1">
      <alignment horizontal="center"/>
    </xf>
    <xf numFmtId="167" fontId="18" fillId="0" borderId="10" xfId="21" applyNumberFormat="1" applyFont="1" applyBorder="1" applyAlignment="1">
      <alignment horizontal="center"/>
    </xf>
    <xf numFmtId="168" fontId="18" fillId="0" borderId="15" xfId="24" applyNumberFormat="1" applyFont="1" applyBorder="1" applyAlignment="1" applyProtection="1">
      <alignment horizontal="right"/>
      <protection locked="0"/>
    </xf>
    <xf numFmtId="168" fontId="18" fillId="8" borderId="2" xfId="24" applyNumberFormat="1" applyFont="1" applyFill="1" applyBorder="1" applyAlignment="1">
      <alignment horizontal="right"/>
    </xf>
    <xf numFmtId="3" fontId="18" fillId="0" borderId="8" xfId="3" applyNumberFormat="1" applyFont="1" applyBorder="1" applyAlignment="1">
      <alignment horizontal="right"/>
    </xf>
    <xf numFmtId="3" fontId="18" fillId="8" borderId="0" xfId="24" applyNumberFormat="1" applyFont="1" applyFill="1" applyBorder="1" applyAlignment="1">
      <alignment horizontal="right"/>
    </xf>
    <xf numFmtId="3" fontId="18" fillId="0" borderId="1" xfId="24" applyNumberFormat="1" applyFont="1" applyBorder="1" applyAlignment="1" applyProtection="1">
      <alignment horizontal="right"/>
      <protection locked="0"/>
    </xf>
    <xf numFmtId="3" fontId="18" fillId="0" borderId="0" xfId="3" applyNumberFormat="1" applyFont="1" applyBorder="1" applyAlignment="1">
      <alignment horizontal="right"/>
    </xf>
    <xf numFmtId="3" fontId="18" fillId="0" borderId="0" xfId="24" applyNumberFormat="1" applyFont="1" applyBorder="1" applyAlignment="1">
      <alignment horizontal="right"/>
    </xf>
    <xf numFmtId="3" fontId="18" fillId="0" borderId="0" xfId="24" applyNumberFormat="1" applyFont="1" applyBorder="1" applyAlignment="1" applyProtection="1">
      <alignment horizontal="right"/>
      <protection locked="0"/>
    </xf>
    <xf numFmtId="3" fontId="18" fillId="0" borderId="1" xfId="23" applyNumberFormat="1" applyFont="1" applyBorder="1" applyProtection="1">
      <protection locked="0"/>
    </xf>
    <xf numFmtId="3" fontId="18" fillId="8" borderId="0" xfId="23" applyNumberFormat="1" applyFont="1" applyFill="1" applyBorder="1" applyProtection="1">
      <protection locked="0"/>
    </xf>
    <xf numFmtId="3" fontId="18" fillId="0" borderId="0" xfId="23" applyNumberFormat="1" applyFont="1" applyBorder="1" applyProtection="1">
      <protection locked="0"/>
    </xf>
    <xf numFmtId="3" fontId="18" fillId="0" borderId="16" xfId="23" applyNumberFormat="1" applyFont="1" applyBorder="1" applyProtection="1">
      <protection locked="0"/>
    </xf>
    <xf numFmtId="3" fontId="18" fillId="8" borderId="3" xfId="23" applyNumberFormat="1" applyFont="1" applyFill="1" applyBorder="1" applyProtection="1">
      <protection locked="0"/>
    </xf>
    <xf numFmtId="3" fontId="18" fillId="0" borderId="3" xfId="23" applyNumberFormat="1" applyFont="1" applyBorder="1" applyProtection="1">
      <protection locked="0"/>
    </xf>
    <xf numFmtId="3" fontId="18" fillId="0" borderId="0" xfId="3" applyNumberFormat="1" applyFont="1" applyBorder="1"/>
    <xf numFmtId="3" fontId="18" fillId="0" borderId="8" xfId="3" applyNumberFormat="1" applyFont="1" applyBorder="1"/>
    <xf numFmtId="168" fontId="18" fillId="0" borderId="10" xfId="3" applyNumberFormat="1" applyFont="1" applyBorder="1" applyAlignment="1">
      <alignment horizontal="right"/>
    </xf>
    <xf numFmtId="3" fontId="18" fillId="0" borderId="3" xfId="3" applyNumberFormat="1" applyFont="1" applyBorder="1"/>
    <xf numFmtId="168" fontId="18" fillId="0" borderId="2" xfId="24" applyNumberFormat="1" applyFont="1" applyBorder="1" applyAlignment="1" applyProtection="1">
      <alignment horizontal="right"/>
      <protection locked="0"/>
    </xf>
    <xf numFmtId="168" fontId="18" fillId="0" borderId="2" xfId="24" applyNumberFormat="1" applyFont="1" applyBorder="1" applyAlignment="1">
      <alignment horizontal="right"/>
    </xf>
    <xf numFmtId="168" fontId="18" fillId="0" borderId="2" xfId="3" applyNumberFormat="1" applyFont="1" applyBorder="1" applyAlignment="1">
      <alignment horizontal="right"/>
    </xf>
    <xf numFmtId="3" fontId="18" fillId="0" borderId="1" xfId="24" applyNumberFormat="1" applyFont="1" applyBorder="1" applyProtection="1">
      <protection locked="0"/>
    </xf>
    <xf numFmtId="3" fontId="18" fillId="8" borderId="0" xfId="24" applyNumberFormat="1" applyFont="1" applyFill="1" applyBorder="1" applyProtection="1">
      <protection locked="0"/>
    </xf>
    <xf numFmtId="3" fontId="18" fillId="0" borderId="0" xfId="24" applyNumberFormat="1" applyFont="1" applyBorder="1" applyProtection="1">
      <protection locked="0"/>
    </xf>
    <xf numFmtId="3" fontId="18" fillId="0" borderId="0" xfId="3" applyNumberFormat="1" applyFont="1" applyBorder="1"/>
    <xf numFmtId="3" fontId="18" fillId="0" borderId="8" xfId="3" applyNumberFormat="1" applyFont="1" applyBorder="1"/>
    <xf numFmtId="3" fontId="18" fillId="0" borderId="1" xfId="24" applyNumberFormat="1" applyFont="1" applyBorder="1" applyProtection="1">
      <protection locked="0"/>
    </xf>
    <xf numFmtId="3" fontId="18" fillId="8" borderId="0" xfId="24" applyNumberFormat="1" applyFont="1" applyFill="1" applyBorder="1" applyProtection="1">
      <protection locked="0"/>
    </xf>
    <xf numFmtId="3" fontId="18" fillId="0" borderId="0" xfId="24" applyNumberFormat="1" applyFont="1" applyBorder="1" applyProtection="1">
      <protection locked="0"/>
    </xf>
    <xf numFmtId="3" fontId="18" fillId="0" borderId="0" xfId="3" applyNumberFormat="1" applyFont="1" applyBorder="1"/>
    <xf numFmtId="3" fontId="18" fillId="0" borderId="8" xfId="3" applyNumberFormat="1" applyFont="1" applyBorder="1"/>
    <xf numFmtId="168" fontId="18" fillId="0" borderId="1" xfId="24" applyNumberFormat="1" applyFont="1" applyBorder="1" applyProtection="1">
      <protection locked="0"/>
    </xf>
    <xf numFmtId="168" fontId="18" fillId="8" borderId="0" xfId="24" applyNumberFormat="1" applyFont="1" applyFill="1" applyBorder="1" applyProtection="1">
      <protection locked="0"/>
    </xf>
    <xf numFmtId="168" fontId="18" fillId="0" borderId="0" xfId="24" applyNumberFormat="1" applyFont="1" applyBorder="1" applyProtection="1">
      <protection locked="0"/>
    </xf>
    <xf numFmtId="168" fontId="18" fillId="0" borderId="0" xfId="3" applyNumberFormat="1" applyFont="1" applyBorder="1"/>
    <xf numFmtId="168" fontId="18" fillId="0" borderId="8" xfId="3" applyNumberFormat="1" applyFont="1" applyBorder="1"/>
    <xf numFmtId="168" fontId="18" fillId="0" borderId="1" xfId="24" applyNumberFormat="1" applyFont="1" applyBorder="1" applyProtection="1">
      <protection locked="0"/>
    </xf>
    <xf numFmtId="168" fontId="18" fillId="8" borderId="0" xfId="24" applyNumberFormat="1" applyFont="1" applyFill="1" applyBorder="1" applyProtection="1">
      <protection locked="0"/>
    </xf>
    <xf numFmtId="168" fontId="18" fillId="0" borderId="0" xfId="24" applyNumberFormat="1" applyFont="1" applyBorder="1" applyProtection="1">
      <protection locked="0"/>
    </xf>
    <xf numFmtId="168" fontId="18" fillId="0" borderId="0" xfId="3" applyNumberFormat="1" applyFont="1" applyBorder="1"/>
    <xf numFmtId="168" fontId="18" fillId="0" borderId="8" xfId="3" applyNumberFormat="1" applyFont="1" applyBorder="1"/>
    <xf numFmtId="168" fontId="18" fillId="0" borderId="1" xfId="24" applyNumberFormat="1" applyFont="1" applyBorder="1" applyProtection="1">
      <protection locked="0"/>
    </xf>
    <xf numFmtId="168" fontId="18" fillId="8" borderId="0" xfId="24" applyNumberFormat="1" applyFont="1" applyFill="1" applyBorder="1" applyProtection="1">
      <protection locked="0"/>
    </xf>
    <xf numFmtId="168" fontId="18" fillId="0" borderId="0" xfId="24" applyNumberFormat="1" applyFont="1" applyBorder="1" applyProtection="1">
      <protection locked="0"/>
    </xf>
    <xf numFmtId="168" fontId="18" fillId="0" borderId="0" xfId="3" applyNumberFormat="1" applyFont="1" applyBorder="1"/>
    <xf numFmtId="168" fontId="18" fillId="0" borderId="8" xfId="3" applyNumberFormat="1" applyFont="1" applyBorder="1"/>
    <xf numFmtId="0" fontId="15" fillId="0" borderId="0" xfId="3" applyFont="1"/>
    <xf numFmtId="38" fontId="15" fillId="0" borderId="0" xfId="3" applyNumberFormat="1" applyFont="1"/>
    <xf numFmtId="0" fontId="15" fillId="0" borderId="0" xfId="3" applyFont="1" applyAlignment="1">
      <alignment horizontal="center"/>
    </xf>
    <xf numFmtId="0" fontId="15" fillId="0" borderId="0" xfId="3" applyFont="1" applyAlignment="1">
      <alignment horizontal="left"/>
    </xf>
    <xf numFmtId="0" fontId="15" fillId="0" borderId="9" xfId="3" applyFont="1" applyBorder="1" applyAlignment="1">
      <alignment horizontal="left"/>
    </xf>
    <xf numFmtId="0" fontId="18" fillId="0" borderId="7" xfId="3" applyNumberFormat="1" applyFont="1" applyBorder="1" applyAlignment="1" applyProtection="1">
      <alignment horizontal="left"/>
      <protection locked="0"/>
    </xf>
    <xf numFmtId="0" fontId="18" fillId="0" borderId="11" xfId="3" applyNumberFormat="1" applyFont="1" applyBorder="1" applyAlignment="1" applyProtection="1">
      <alignment horizontal="left"/>
      <protection locked="0"/>
    </xf>
    <xf numFmtId="0" fontId="15" fillId="0" borderId="18" xfId="3" applyFont="1" applyBorder="1" applyAlignment="1">
      <alignment horizontal="center"/>
    </xf>
    <xf numFmtId="0" fontId="15" fillId="0" borderId="13" xfId="3" applyNumberFormat="1" applyFont="1" applyBorder="1" applyAlignment="1" applyProtection="1">
      <alignment horizontal="center"/>
      <protection locked="0"/>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164" fontId="15" fillId="0" borderId="15" xfId="1" applyNumberFormat="1" applyFont="1" applyBorder="1" applyProtection="1">
      <protection locked="0"/>
    </xf>
    <xf numFmtId="164" fontId="15" fillId="0" borderId="2" xfId="1" applyNumberFormat="1" applyFont="1" applyBorder="1" applyProtection="1">
      <protection locked="0"/>
    </xf>
    <xf numFmtId="164" fontId="15" fillId="0" borderId="1" xfId="1" applyNumberFormat="1" applyFont="1" applyBorder="1"/>
    <xf numFmtId="164" fontId="15" fillId="0" borderId="0" xfId="1" applyNumberFormat="1" applyFont="1" applyBorder="1"/>
    <xf numFmtId="164" fontId="18" fillId="0" borderId="1" xfId="1" applyNumberFormat="1" applyFont="1" applyBorder="1" applyProtection="1">
      <protection locked="0"/>
    </xf>
    <xf numFmtId="164" fontId="18" fillId="0" borderId="0" xfId="1" applyNumberFormat="1" applyFont="1" applyBorder="1" applyProtection="1">
      <protection locked="0"/>
    </xf>
    <xf numFmtId="3" fontId="18" fillId="0" borderId="0" xfId="3" applyNumberFormat="1" applyFont="1" applyBorder="1"/>
    <xf numFmtId="3" fontId="18" fillId="0" borderId="8" xfId="3" applyNumberFormat="1" applyFont="1" applyBorder="1"/>
    <xf numFmtId="3" fontId="18" fillId="0" borderId="12" xfId="3" applyNumberFormat="1" applyFont="1" applyBorder="1"/>
    <xf numFmtId="6" fontId="18" fillId="5" borderId="5" xfId="3" applyNumberFormat="1" applyFont="1" applyFill="1" applyBorder="1" applyAlignment="1">
      <alignment horizontal="center" vertical="center"/>
    </xf>
    <xf numFmtId="164" fontId="18" fillId="8" borderId="0" xfId="1" applyNumberFormat="1" applyFont="1" applyFill="1" applyBorder="1"/>
    <xf numFmtId="165" fontId="18" fillId="3" borderId="5" xfId="2" applyNumberFormat="1" applyFont="1" applyFill="1" applyBorder="1"/>
    <xf numFmtId="6" fontId="18" fillId="3" borderId="5" xfId="2" applyNumberFormat="1" applyFont="1" applyFill="1" applyBorder="1" applyAlignment="1">
      <alignment horizontal="center" vertical="center"/>
    </xf>
    <xf numFmtId="6" fontId="18" fillId="5" borderId="6" xfId="3" applyNumberFormat="1" applyFont="1" applyFill="1" applyBorder="1" applyAlignment="1">
      <alignment horizontal="center" vertical="center"/>
    </xf>
    <xf numFmtId="169" fontId="15" fillId="3" borderId="2" xfId="1" applyNumberFormat="1" applyFont="1" applyFill="1" applyBorder="1" applyAlignment="1">
      <alignment horizontal="center" vertical="center"/>
    </xf>
    <xf numFmtId="170" fontId="15" fillId="0" borderId="15" xfId="7" applyNumberFormat="1" applyFont="1" applyBorder="1" applyProtection="1">
      <protection locked="0"/>
    </xf>
    <xf numFmtId="169" fontId="15" fillId="5" borderId="2" xfId="1" applyNumberFormat="1" applyFont="1" applyFill="1" applyBorder="1" applyAlignment="1">
      <alignment horizontal="center" vertical="center"/>
    </xf>
    <xf numFmtId="170" fontId="15" fillId="8" borderId="2" xfId="7" applyNumberFormat="1" applyFont="1" applyFill="1" applyBorder="1" applyProtection="1">
      <protection locked="0"/>
    </xf>
    <xf numFmtId="0" fontId="15" fillId="0" borderId="0" xfId="3" applyFont="1"/>
    <xf numFmtId="38" fontId="15" fillId="0" borderId="0" xfId="3" applyNumberFormat="1" applyFont="1"/>
    <xf numFmtId="0" fontId="15" fillId="0" borderId="0" xfId="3" applyFont="1" applyAlignment="1">
      <alignment horizontal="center"/>
    </xf>
    <xf numFmtId="0" fontId="15" fillId="0" borderId="0" xfId="3" applyFont="1" applyAlignment="1">
      <alignment horizontal="left"/>
    </xf>
    <xf numFmtId="0" fontId="15" fillId="0" borderId="9" xfId="3" applyFont="1" applyBorder="1" applyAlignment="1">
      <alignment horizontal="left"/>
    </xf>
    <xf numFmtId="0" fontId="18" fillId="0" borderId="7" xfId="3" applyNumberFormat="1" applyFont="1" applyBorder="1" applyAlignment="1" applyProtection="1">
      <alignment horizontal="left"/>
      <protection locked="0"/>
    </xf>
    <xf numFmtId="0" fontId="18" fillId="0" borderId="11" xfId="3" applyNumberFormat="1" applyFont="1" applyBorder="1" applyAlignment="1" applyProtection="1">
      <alignment horizontal="left"/>
      <protection locked="0"/>
    </xf>
    <xf numFmtId="0" fontId="15" fillId="0" borderId="18" xfId="3" applyFont="1" applyBorder="1" applyAlignment="1">
      <alignment horizontal="center"/>
    </xf>
    <xf numFmtId="0" fontId="15" fillId="0" borderId="13" xfId="3" applyNumberFormat="1" applyFont="1" applyBorder="1" applyAlignment="1" applyProtection="1">
      <alignment horizontal="center"/>
      <protection locked="0"/>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164" fontId="15" fillId="0" borderId="15" xfId="1" applyNumberFormat="1" applyFont="1" applyBorder="1" applyProtection="1">
      <protection locked="0"/>
    </xf>
    <xf numFmtId="164" fontId="15" fillId="0" borderId="2" xfId="1" applyNumberFormat="1" applyFont="1" applyBorder="1" applyProtection="1">
      <protection locked="0"/>
    </xf>
    <xf numFmtId="164" fontId="15" fillId="0" borderId="1" xfId="1" applyNumberFormat="1" applyFont="1" applyBorder="1"/>
    <xf numFmtId="164" fontId="15" fillId="0" borderId="0" xfId="1" applyNumberFormat="1" applyFont="1" applyBorder="1"/>
    <xf numFmtId="164" fontId="18" fillId="0" borderId="1" xfId="1" applyNumberFormat="1" applyFont="1" applyBorder="1" applyProtection="1">
      <protection locked="0"/>
    </xf>
    <xf numFmtId="164" fontId="18" fillId="8" borderId="0" xfId="1" applyNumberFormat="1" applyFont="1" applyFill="1" applyBorder="1" applyProtection="1">
      <protection locked="0"/>
    </xf>
    <xf numFmtId="164" fontId="18" fillId="0" borderId="0" xfId="1" applyNumberFormat="1" applyFont="1" applyBorder="1" applyProtection="1">
      <protection locked="0"/>
    </xf>
    <xf numFmtId="164" fontId="18" fillId="0" borderId="16" xfId="1" applyNumberFormat="1" applyFont="1" applyBorder="1" applyProtection="1">
      <protection locked="0"/>
    </xf>
    <xf numFmtId="164" fontId="18" fillId="8" borderId="3" xfId="1" applyNumberFormat="1" applyFont="1" applyFill="1" applyBorder="1" applyProtection="1">
      <protection locked="0"/>
    </xf>
    <xf numFmtId="164" fontId="18" fillId="0" borderId="3" xfId="1" applyNumberFormat="1" applyFont="1" applyBorder="1" applyProtection="1">
      <protection locked="0"/>
    </xf>
    <xf numFmtId="37" fontId="18" fillId="0" borderId="0" xfId="1" applyNumberFormat="1" applyFont="1" applyBorder="1" applyProtection="1">
      <protection locked="0"/>
    </xf>
    <xf numFmtId="37" fontId="18" fillId="8" borderId="0" xfId="1" applyNumberFormat="1" applyFont="1" applyFill="1" applyBorder="1" applyProtection="1">
      <protection locked="0"/>
    </xf>
    <xf numFmtId="0" fontId="15" fillId="0" borderId="0" xfId="3" applyFont="1"/>
    <xf numFmtId="0" fontId="15" fillId="0" borderId="0" xfId="3" applyFont="1" applyAlignment="1">
      <alignment horizontal="center"/>
    </xf>
    <xf numFmtId="0" fontId="15" fillId="0" borderId="0" xfId="3" applyFont="1" applyAlignment="1">
      <alignment horizontal="left"/>
    </xf>
    <xf numFmtId="0" fontId="15" fillId="0" borderId="9" xfId="3" applyFont="1" applyBorder="1" applyAlignment="1">
      <alignment horizontal="left"/>
    </xf>
    <xf numFmtId="0" fontId="18" fillId="0" borderId="7" xfId="3" applyNumberFormat="1" applyFont="1" applyBorder="1" applyAlignment="1" applyProtection="1">
      <alignment horizontal="left"/>
      <protection locked="0"/>
    </xf>
    <xf numFmtId="0" fontId="18" fillId="0" borderId="11" xfId="3" applyNumberFormat="1" applyFont="1" applyBorder="1" applyAlignment="1" applyProtection="1">
      <alignment horizontal="left"/>
      <protection locked="0"/>
    </xf>
    <xf numFmtId="0" fontId="15" fillId="0" borderId="7" xfId="3" applyNumberFormat="1" applyFont="1" applyBorder="1" applyAlignment="1" applyProtection="1">
      <alignment horizontal="left"/>
      <protection locked="0"/>
    </xf>
    <xf numFmtId="164" fontId="18" fillId="0" borderId="16" xfId="1" applyNumberFormat="1" applyFont="1" applyBorder="1" applyProtection="1">
      <protection locked="0"/>
    </xf>
    <xf numFmtId="164" fontId="18" fillId="8" borderId="3" xfId="1" applyNumberFormat="1" applyFont="1" applyFill="1" applyBorder="1" applyProtection="1">
      <protection locked="0"/>
    </xf>
    <xf numFmtId="164" fontId="18" fillId="0" borderId="3" xfId="1" applyNumberFormat="1" applyFont="1" applyBorder="1" applyProtection="1">
      <protection locked="0"/>
    </xf>
    <xf numFmtId="0" fontId="15" fillId="0" borderId="7" xfId="3" applyNumberFormat="1" applyFont="1" applyFill="1" applyBorder="1" applyAlignment="1" applyProtection="1">
      <alignment horizontal="left"/>
      <protection locked="0"/>
    </xf>
    <xf numFmtId="0" fontId="15" fillId="0" borderId="0" xfId="3" applyFont="1"/>
    <xf numFmtId="0" fontId="15" fillId="0" borderId="0" xfId="3" applyFont="1" applyAlignment="1">
      <alignment horizontal="center"/>
    </xf>
    <xf numFmtId="0" fontId="18" fillId="0" borderId="7" xfId="3" applyNumberFormat="1" applyFont="1" applyBorder="1" applyAlignment="1" applyProtection="1">
      <alignment horizontal="left"/>
      <protection locked="0"/>
    </xf>
    <xf numFmtId="0" fontId="15" fillId="0" borderId="7" xfId="3" applyNumberFormat="1" applyFont="1" applyBorder="1" applyAlignment="1" applyProtection="1">
      <alignment horizontal="left"/>
      <protection locked="0"/>
    </xf>
    <xf numFmtId="0" fontId="18" fillId="0" borderId="0" xfId="3" applyNumberFormat="1" applyFont="1" applyFill="1" applyBorder="1" applyAlignment="1" applyProtection="1">
      <alignment horizontal="left"/>
      <protection locked="0"/>
    </xf>
    <xf numFmtId="0" fontId="15" fillId="0" borderId="18" xfId="3" applyFont="1" applyBorder="1" applyAlignment="1">
      <alignment horizontal="center"/>
    </xf>
    <xf numFmtId="0" fontId="15" fillId="0" borderId="13" xfId="3" applyNumberFormat="1" applyFont="1" applyBorder="1" applyAlignment="1" applyProtection="1">
      <alignment horizontal="center"/>
      <protection locked="0"/>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0" fontId="15" fillId="0" borderId="4" xfId="3" applyNumberFormat="1" applyFont="1" applyBorder="1" applyAlignment="1" applyProtection="1">
      <alignment horizontal="left"/>
      <protection locked="0"/>
    </xf>
    <xf numFmtId="0" fontId="15" fillId="0" borderId="0" xfId="3" applyFont="1" applyFill="1"/>
    <xf numFmtId="164" fontId="15" fillId="0" borderId="1" xfId="1" applyNumberFormat="1" applyFont="1" applyBorder="1"/>
    <xf numFmtId="164" fontId="15" fillId="0" borderId="0" xfId="1" applyNumberFormat="1" applyFont="1" applyBorder="1"/>
    <xf numFmtId="164" fontId="18" fillId="0" borderId="1" xfId="1" applyNumberFormat="1" applyFont="1" applyBorder="1" applyProtection="1">
      <protection locked="0"/>
    </xf>
    <xf numFmtId="164" fontId="18" fillId="0" borderId="0" xfId="1" applyNumberFormat="1" applyFont="1" applyBorder="1" applyProtection="1">
      <protection locked="0"/>
    </xf>
    <xf numFmtId="0" fontId="15" fillId="0" borderId="0" xfId="3" applyFont="1"/>
    <xf numFmtId="0" fontId="15" fillId="0" borderId="0" xfId="3" applyFont="1" applyAlignment="1">
      <alignment horizontal="center"/>
    </xf>
    <xf numFmtId="0" fontId="18" fillId="0" borderId="7" xfId="3" applyNumberFormat="1" applyFont="1" applyBorder="1" applyAlignment="1" applyProtection="1">
      <alignment horizontal="left"/>
      <protection locked="0"/>
    </xf>
    <xf numFmtId="0" fontId="18" fillId="0" borderId="0" xfId="3" applyNumberFormat="1" applyFont="1" applyFill="1" applyBorder="1" applyAlignment="1" applyProtection="1">
      <alignment horizontal="left"/>
      <protection locked="0"/>
    </xf>
    <xf numFmtId="0" fontId="15" fillId="0" borderId="18" xfId="3" applyFont="1" applyBorder="1" applyAlignment="1">
      <alignment horizontal="center"/>
    </xf>
    <xf numFmtId="0" fontId="15" fillId="0" borderId="13" xfId="3" applyNumberFormat="1" applyFont="1" applyBorder="1" applyAlignment="1" applyProtection="1">
      <alignment horizontal="center"/>
      <protection locked="0"/>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0" fontId="15" fillId="0" borderId="0" xfId="3" applyFont="1" applyFill="1"/>
    <xf numFmtId="164" fontId="18" fillId="0" borderId="1" xfId="1" applyNumberFormat="1" applyFont="1" applyBorder="1" applyProtection="1">
      <protection locked="0"/>
    </xf>
    <xf numFmtId="164" fontId="18" fillId="8" borderId="0" xfId="1" applyNumberFormat="1" applyFont="1" applyFill="1" applyBorder="1" applyProtection="1">
      <protection locked="0"/>
    </xf>
    <xf numFmtId="164" fontId="18" fillId="0" borderId="0" xfId="1" applyNumberFormat="1" applyFont="1" applyBorder="1" applyProtection="1">
      <protection locked="0"/>
    </xf>
    <xf numFmtId="0" fontId="18" fillId="0" borderId="0" xfId="3" applyFont="1"/>
    <xf numFmtId="0" fontId="18" fillId="0" borderId="4" xfId="3" applyNumberFormat="1" applyFont="1" applyBorder="1" applyAlignment="1" applyProtection="1">
      <alignment horizontal="left"/>
      <protection locked="0"/>
    </xf>
    <xf numFmtId="169" fontId="15" fillId="3" borderId="0" xfId="1" applyNumberFormat="1" applyFont="1" applyFill="1" applyBorder="1" applyAlignment="1">
      <alignment horizontal="center" vertical="center"/>
    </xf>
    <xf numFmtId="169" fontId="15" fillId="5" borderId="0" xfId="1" applyNumberFormat="1" applyFont="1" applyFill="1" applyBorder="1" applyAlignment="1">
      <alignment horizontal="center" vertical="center"/>
    </xf>
    <xf numFmtId="166" fontId="15" fillId="8" borderId="0" xfId="7" applyNumberFormat="1" applyFont="1" applyFill="1" applyBorder="1" applyProtection="1">
      <protection locked="0"/>
    </xf>
    <xf numFmtId="170" fontId="15" fillId="0" borderId="1" xfId="7" applyNumberFormat="1" applyFont="1" applyBorder="1" applyProtection="1">
      <protection locked="0"/>
    </xf>
    <xf numFmtId="170" fontId="15" fillId="0" borderId="0" xfId="7" applyNumberFormat="1" applyFont="1" applyBorder="1" applyProtection="1">
      <protection locked="0"/>
    </xf>
    <xf numFmtId="164" fontId="15" fillId="0" borderId="1" xfId="1" applyNumberFormat="1" applyFont="1" applyBorder="1"/>
    <xf numFmtId="164" fontId="15" fillId="8" borderId="0" xfId="1" applyNumberFormat="1" applyFont="1" applyFill="1" applyBorder="1"/>
    <xf numFmtId="37" fontId="18" fillId="0" borderId="14" xfId="24" applyNumberFormat="1" applyFont="1" applyBorder="1"/>
    <xf numFmtId="37" fontId="18" fillId="8" borderId="5" xfId="24" applyNumberFormat="1" applyFont="1" applyFill="1" applyBorder="1"/>
    <xf numFmtId="168" fontId="18" fillId="0" borderId="1" xfId="1" applyNumberFormat="1" applyFont="1" applyBorder="1" applyProtection="1">
      <protection locked="0"/>
    </xf>
    <xf numFmtId="168" fontId="18" fillId="8" borderId="0" xfId="1" applyNumberFormat="1" applyFont="1" applyFill="1" applyBorder="1" applyProtection="1">
      <protection locked="0"/>
    </xf>
    <xf numFmtId="0" fontId="15" fillId="0" borderId="0" xfId="3" applyFont="1"/>
    <xf numFmtId="0" fontId="15" fillId="0" borderId="0" xfId="3" applyFont="1" applyAlignment="1">
      <alignment horizontal="center"/>
    </xf>
    <xf numFmtId="0" fontId="15" fillId="0" borderId="2" xfId="3" applyNumberFormat="1" applyFont="1" applyBorder="1" applyAlignment="1" applyProtection="1">
      <alignment horizontal="center"/>
      <protection locked="0"/>
    </xf>
    <xf numFmtId="38" fontId="15" fillId="0" borderId="2" xfId="3" applyNumberFormat="1" applyFont="1" applyBorder="1" applyAlignment="1" applyProtection="1">
      <alignment horizontal="center"/>
      <protection locked="0"/>
    </xf>
    <xf numFmtId="0" fontId="15" fillId="0" borderId="2" xfId="3" applyFont="1" applyBorder="1" applyAlignment="1">
      <alignment horizontal="center"/>
    </xf>
    <xf numFmtId="0" fontId="15" fillId="0" borderId="7" xfId="3" applyNumberFormat="1" applyFont="1" applyBorder="1" applyAlignment="1" applyProtection="1">
      <alignment horizontal="left"/>
      <protection locked="0"/>
    </xf>
    <xf numFmtId="0" fontId="15" fillId="0" borderId="15" xfId="3" applyNumberFormat="1" applyFont="1" applyBorder="1" applyAlignment="1" applyProtection="1">
      <alignment horizontal="center"/>
      <protection locked="0"/>
    </xf>
    <xf numFmtId="0" fontId="15" fillId="0" borderId="14" xfId="3" applyNumberFormat="1" applyFont="1" applyBorder="1" applyAlignment="1" applyProtection="1">
      <alignment horizontal="center"/>
      <protection locked="0"/>
    </xf>
    <xf numFmtId="0" fontId="15" fillId="0" borderId="5" xfId="3" applyNumberFormat="1" applyFont="1" applyBorder="1" applyAlignment="1" applyProtection="1">
      <alignment horizontal="center"/>
      <protection locked="0"/>
    </xf>
    <xf numFmtId="0" fontId="15" fillId="0" borderId="5" xfId="3" applyFont="1" applyBorder="1" applyAlignment="1">
      <alignment horizontal="center"/>
    </xf>
    <xf numFmtId="0" fontId="18" fillId="0" borderId="0" xfId="3" applyNumberFormat="1" applyFont="1" applyFill="1" applyBorder="1" applyAlignment="1" applyProtection="1">
      <alignment horizontal="left"/>
      <protection locked="0"/>
    </xf>
    <xf numFmtId="38" fontId="15" fillId="0" borderId="5" xfId="3" applyNumberFormat="1" applyFont="1" applyBorder="1" applyAlignment="1" applyProtection="1">
      <alignment horizontal="center"/>
      <protection locked="0"/>
    </xf>
    <xf numFmtId="0" fontId="15" fillId="0" borderId="9" xfId="3" applyFont="1" applyBorder="1" applyAlignment="1">
      <alignment horizontal="center"/>
    </xf>
    <xf numFmtId="0" fontId="15" fillId="0" borderId="0" xfId="3" applyFont="1" applyFill="1"/>
    <xf numFmtId="164" fontId="15" fillId="8" borderId="0" xfId="1" applyNumberFormat="1" applyFont="1" applyFill="1" applyBorder="1"/>
    <xf numFmtId="164" fontId="15" fillId="0" borderId="0" xfId="1" applyNumberFormat="1" applyFont="1" applyBorder="1"/>
    <xf numFmtId="0" fontId="15" fillId="0" borderId="2" xfId="3" applyFont="1" applyFill="1" applyBorder="1" applyAlignment="1">
      <alignment horizontal="center"/>
    </xf>
    <xf numFmtId="0" fontId="15" fillId="0" borderId="4" xfId="3" applyFont="1" applyFill="1" applyBorder="1" applyAlignment="1">
      <alignment horizontal="center"/>
    </xf>
    <xf numFmtId="0" fontId="15" fillId="0" borderId="9" xfId="3" applyFont="1" applyFill="1" applyBorder="1" applyAlignment="1">
      <alignment horizontal="center"/>
    </xf>
    <xf numFmtId="0" fontId="15" fillId="0" borderId="6" xfId="3" applyFont="1" applyFill="1" applyBorder="1" applyAlignment="1">
      <alignment horizontal="center"/>
    </xf>
    <xf numFmtId="0" fontId="15" fillId="0" borderId="10" xfId="3" applyFont="1" applyFill="1" applyBorder="1" applyAlignment="1">
      <alignment horizontal="center"/>
    </xf>
    <xf numFmtId="0" fontId="15" fillId="0" borderId="5" xfId="3" applyFont="1" applyFill="1" applyBorder="1" applyAlignment="1">
      <alignment horizontal="center"/>
    </xf>
    <xf numFmtId="0" fontId="18" fillId="0" borderId="26" xfId="3" applyNumberFormat="1" applyFont="1" applyBorder="1" applyAlignment="1" applyProtection="1">
      <alignment horizontal="left"/>
      <protection locked="0"/>
    </xf>
    <xf numFmtId="0" fontId="15" fillId="0" borderId="7" xfId="3" applyNumberFormat="1" applyFont="1" applyFill="1" applyBorder="1" applyAlignment="1" applyProtection="1">
      <alignment horizontal="left"/>
      <protection locked="0"/>
    </xf>
    <xf numFmtId="37" fontId="18" fillId="8" borderId="5" xfId="24" applyNumberFormat="1" applyFont="1" applyFill="1" applyBorder="1"/>
    <xf numFmtId="37" fontId="18" fillId="0" borderId="5" xfId="24" applyNumberFormat="1" applyFont="1" applyBorder="1"/>
    <xf numFmtId="168" fontId="18" fillId="0" borderId="1" xfId="1" applyNumberFormat="1" applyFont="1" applyBorder="1" applyProtection="1">
      <protection locked="0"/>
    </xf>
    <xf numFmtId="168" fontId="18" fillId="8" borderId="0" xfId="1" applyNumberFormat="1" applyFont="1" applyFill="1" applyBorder="1" applyProtection="1">
      <protection locked="0"/>
    </xf>
    <xf numFmtId="168" fontId="18" fillId="0" borderId="0" xfId="1" applyNumberFormat="1" applyFont="1" applyBorder="1" applyProtection="1">
      <protection locked="0"/>
    </xf>
    <xf numFmtId="170" fontId="15" fillId="0" borderId="2" xfId="7" applyNumberFormat="1" applyFont="1" applyBorder="1" applyProtection="1">
      <protection locked="0"/>
    </xf>
    <xf numFmtId="168" fontId="25" fillId="0" borderId="1" xfId="13" applyNumberFormat="1" applyFont="1" applyBorder="1"/>
    <xf numFmtId="6" fontId="18" fillId="5" borderId="8" xfId="3" applyNumberFormat="1" applyFont="1" applyFill="1" applyBorder="1" applyAlignment="1">
      <alignment horizontal="center" vertical="center"/>
    </xf>
    <xf numFmtId="37" fontId="18" fillId="0" borderId="8" xfId="3" applyNumberFormat="1" applyFont="1" applyFill="1" applyBorder="1"/>
    <xf numFmtId="167" fontId="18" fillId="0" borderId="0" xfId="12" applyNumberFormat="1" applyFont="1" applyFill="1" applyBorder="1" applyProtection="1">
      <protection locked="0"/>
    </xf>
    <xf numFmtId="164" fontId="15" fillId="0" borderId="5" xfId="1" applyNumberFormat="1" applyFont="1" applyFill="1" applyBorder="1" applyAlignment="1">
      <alignment horizontal="center"/>
    </xf>
    <xf numFmtId="0" fontId="15" fillId="0" borderId="0" xfId="3" applyFont="1"/>
    <xf numFmtId="38" fontId="15" fillId="0" borderId="0" xfId="3" applyNumberFormat="1" applyFont="1"/>
    <xf numFmtId="0" fontId="15" fillId="0" borderId="0" xfId="3" applyFont="1" applyAlignment="1">
      <alignment horizontal="center"/>
    </xf>
    <xf numFmtId="0" fontId="15" fillId="0" borderId="0" xfId="3" applyFont="1" applyAlignment="1">
      <alignment horizontal="left"/>
    </xf>
    <xf numFmtId="0" fontId="15" fillId="0" borderId="9" xfId="3" applyFont="1" applyBorder="1" applyAlignment="1">
      <alignment horizontal="left"/>
    </xf>
    <xf numFmtId="0" fontId="18" fillId="0" borderId="7" xfId="3" applyNumberFormat="1" applyFont="1" applyBorder="1" applyAlignment="1" applyProtection="1">
      <alignment horizontal="left"/>
      <protection locked="0"/>
    </xf>
    <xf numFmtId="0" fontId="18" fillId="0" borderId="11" xfId="3" applyNumberFormat="1" applyFont="1" applyBorder="1" applyAlignment="1" applyProtection="1">
      <alignment horizontal="left"/>
      <protection locked="0"/>
    </xf>
    <xf numFmtId="0" fontId="15" fillId="0" borderId="18" xfId="3" applyFont="1" applyBorder="1" applyAlignment="1">
      <alignment horizontal="center"/>
    </xf>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164" fontId="15" fillId="0" borderId="15" xfId="1" applyNumberFormat="1" applyFont="1" applyBorder="1" applyProtection="1">
      <protection locked="0"/>
    </xf>
    <xf numFmtId="164" fontId="15" fillId="0" borderId="2" xfId="1" applyNumberFormat="1" applyFont="1" applyBorder="1" applyProtection="1">
      <protection locked="0"/>
    </xf>
    <xf numFmtId="164" fontId="15" fillId="3" borderId="2" xfId="1" applyNumberFormat="1" applyFont="1" applyFill="1" applyBorder="1" applyProtection="1">
      <protection locked="0"/>
    </xf>
    <xf numFmtId="164" fontId="15" fillId="0" borderId="1" xfId="1" applyNumberFormat="1" applyFont="1" applyBorder="1"/>
    <xf numFmtId="164" fontId="15" fillId="3" borderId="0" xfId="1" applyNumberFormat="1" applyFont="1" applyFill="1" applyBorder="1"/>
    <xf numFmtId="164" fontId="15" fillId="0" borderId="0" xfId="1" applyNumberFormat="1" applyFont="1" applyBorder="1"/>
    <xf numFmtId="164" fontId="18" fillId="0" borderId="1" xfId="1" applyNumberFormat="1" applyFont="1" applyBorder="1" applyProtection="1">
      <protection locked="0"/>
    </xf>
    <xf numFmtId="164" fontId="18" fillId="3" borderId="0" xfId="1" applyNumberFormat="1" applyFont="1" applyFill="1" applyBorder="1" applyProtection="1">
      <protection locked="0"/>
    </xf>
    <xf numFmtId="164" fontId="18" fillId="0" borderId="0" xfId="1" applyNumberFormat="1" applyFont="1" applyBorder="1" applyProtection="1">
      <protection locked="0"/>
    </xf>
    <xf numFmtId="164" fontId="18" fillId="3" borderId="3" xfId="1" applyNumberFormat="1" applyFont="1" applyFill="1" applyBorder="1" applyProtection="1">
      <protection locked="0"/>
    </xf>
    <xf numFmtId="37" fontId="18" fillId="0" borderId="0" xfId="12" applyNumberFormat="1" applyFont="1" applyFill="1" applyBorder="1" applyProtection="1">
      <protection locked="0"/>
    </xf>
    <xf numFmtId="167" fontId="18" fillId="0" borderId="8" xfId="3" applyNumberFormat="1" applyFont="1" applyFill="1" applyBorder="1"/>
    <xf numFmtId="0" fontId="15" fillId="0" borderId="0" xfId="3" applyFont="1"/>
    <xf numFmtId="38" fontId="15" fillId="0" borderId="0" xfId="3" applyNumberFormat="1" applyFont="1"/>
    <xf numFmtId="0" fontId="15" fillId="0" borderId="0" xfId="3" applyFont="1" applyAlignment="1">
      <alignment horizontal="center"/>
    </xf>
    <xf numFmtId="0" fontId="15" fillId="0" borderId="0" xfId="3" applyFont="1" applyAlignment="1">
      <alignment horizontal="left"/>
    </xf>
    <xf numFmtId="0" fontId="15" fillId="0" borderId="9" xfId="3" applyFont="1" applyBorder="1" applyAlignment="1">
      <alignment horizontal="left"/>
    </xf>
    <xf numFmtId="0" fontId="18" fillId="0" borderId="7" xfId="3" applyNumberFormat="1" applyFont="1" applyBorder="1" applyAlignment="1" applyProtection="1">
      <alignment horizontal="left"/>
      <protection locked="0"/>
    </xf>
    <xf numFmtId="0" fontId="18" fillId="0" borderId="11" xfId="3" applyNumberFormat="1" applyFont="1" applyBorder="1" applyAlignment="1" applyProtection="1">
      <alignment horizontal="left"/>
      <protection locked="0"/>
    </xf>
    <xf numFmtId="0" fontId="15" fillId="0" borderId="18" xfId="3" applyFont="1" applyBorder="1" applyAlignment="1">
      <alignment horizontal="center"/>
    </xf>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164" fontId="15" fillId="0" borderId="15" xfId="1" applyNumberFormat="1" applyFont="1" applyBorder="1" applyProtection="1">
      <protection locked="0"/>
    </xf>
    <xf numFmtId="164" fontId="15" fillId="0" borderId="2" xfId="1" applyNumberFormat="1" applyFont="1" applyBorder="1" applyProtection="1">
      <protection locked="0"/>
    </xf>
    <xf numFmtId="164" fontId="15" fillId="3" borderId="2" xfId="1" applyNumberFormat="1" applyFont="1" applyFill="1" applyBorder="1" applyProtection="1">
      <protection locked="0"/>
    </xf>
    <xf numFmtId="164" fontId="15" fillId="0" borderId="1" xfId="1" applyNumberFormat="1" applyFont="1" applyBorder="1"/>
    <xf numFmtId="164" fontId="15" fillId="3" borderId="0" xfId="1" applyNumberFormat="1" applyFont="1" applyFill="1" applyBorder="1"/>
    <xf numFmtId="164" fontId="15" fillId="0" borderId="0" xfId="1" applyNumberFormat="1" applyFont="1" applyBorder="1"/>
    <xf numFmtId="164" fontId="18" fillId="0" borderId="1" xfId="1" applyNumberFormat="1" applyFont="1" applyBorder="1" applyProtection="1">
      <protection locked="0"/>
    </xf>
    <xf numFmtId="164" fontId="18" fillId="3" borderId="0" xfId="1" applyNumberFormat="1" applyFont="1" applyFill="1" applyBorder="1" applyProtection="1">
      <protection locked="0"/>
    </xf>
    <xf numFmtId="164" fontId="18" fillId="0" borderId="0" xfId="1" applyNumberFormat="1" applyFont="1" applyBorder="1" applyProtection="1">
      <protection locked="0"/>
    </xf>
    <xf numFmtId="164" fontId="18" fillId="3" borderId="3" xfId="1" applyNumberFormat="1" applyFont="1" applyFill="1" applyBorder="1" applyProtection="1">
      <protection locked="0"/>
    </xf>
    <xf numFmtId="37" fontId="18" fillId="0" borderId="1" xfId="1" applyNumberFormat="1" applyFont="1" applyBorder="1" applyProtection="1">
      <protection locked="0"/>
    </xf>
    <xf numFmtId="37" fontId="18" fillId="3" borderId="0" xfId="1" applyNumberFormat="1" applyFont="1" applyFill="1" applyBorder="1" applyProtection="1">
      <protection locked="0"/>
    </xf>
    <xf numFmtId="37" fontId="18" fillId="0" borderId="0" xfId="1" applyNumberFormat="1" applyFont="1" applyBorder="1" applyProtection="1">
      <protection locked="0"/>
    </xf>
    <xf numFmtId="37" fontId="18" fillId="0" borderId="16" xfId="1" applyNumberFormat="1" applyFont="1" applyBorder="1" applyProtection="1">
      <protection locked="0"/>
    </xf>
    <xf numFmtId="37" fontId="18" fillId="3" borderId="3" xfId="1" applyNumberFormat="1" applyFont="1" applyFill="1" applyBorder="1" applyProtection="1">
      <protection locked="0"/>
    </xf>
    <xf numFmtId="37" fontId="18" fillId="0" borderId="3" xfId="1" applyNumberFormat="1" applyFont="1" applyBorder="1" applyProtection="1">
      <protection locked="0"/>
    </xf>
    <xf numFmtId="0" fontId="15" fillId="0" borderId="0" xfId="3" applyFont="1"/>
    <xf numFmtId="38" fontId="15" fillId="0" borderId="0" xfId="3" applyNumberFormat="1" applyFont="1"/>
    <xf numFmtId="0" fontId="15" fillId="0" borderId="0" xfId="3" applyFont="1" applyAlignment="1">
      <alignment horizontal="center"/>
    </xf>
    <xf numFmtId="0" fontId="15" fillId="0" borderId="0" xfId="3" applyFont="1" applyAlignment="1">
      <alignment horizontal="left"/>
    </xf>
    <xf numFmtId="0" fontId="15" fillId="0" borderId="9" xfId="3" applyFont="1" applyBorder="1" applyAlignment="1">
      <alignment horizontal="left"/>
    </xf>
    <xf numFmtId="0" fontId="18" fillId="0" borderId="7" xfId="3" applyNumberFormat="1" applyFont="1" applyBorder="1" applyAlignment="1" applyProtection="1">
      <alignment horizontal="left"/>
      <protection locked="0"/>
    </xf>
    <xf numFmtId="0" fontId="18" fillId="0" borderId="11" xfId="3" applyNumberFormat="1" applyFont="1" applyBorder="1" applyAlignment="1" applyProtection="1">
      <alignment horizontal="left"/>
      <protection locked="0"/>
    </xf>
    <xf numFmtId="0" fontId="15" fillId="0" borderId="18" xfId="3" applyFont="1" applyBorder="1" applyAlignment="1">
      <alignment horizontal="center"/>
    </xf>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164" fontId="15" fillId="0" borderId="15" xfId="1" applyNumberFormat="1" applyFont="1" applyBorder="1" applyProtection="1">
      <protection locked="0"/>
    </xf>
    <xf numFmtId="164" fontId="15" fillId="0" borderId="2" xfId="1" applyNumberFormat="1" applyFont="1" applyBorder="1" applyProtection="1">
      <protection locked="0"/>
    </xf>
    <xf numFmtId="164" fontId="15" fillId="3" borderId="2" xfId="1" applyNumberFormat="1" applyFont="1" applyFill="1" applyBorder="1" applyProtection="1">
      <protection locked="0"/>
    </xf>
    <xf numFmtId="164" fontId="18" fillId="3" borderId="0" xfId="1" applyNumberFormat="1" applyFont="1" applyFill="1" applyBorder="1" applyProtection="1">
      <protection locked="0"/>
    </xf>
    <xf numFmtId="164" fontId="18" fillId="0" borderId="16" xfId="1" applyNumberFormat="1" applyFont="1" applyBorder="1" applyProtection="1">
      <protection locked="0"/>
    </xf>
    <xf numFmtId="164" fontId="18" fillId="3" borderId="3" xfId="1" applyNumberFormat="1" applyFont="1" applyFill="1" applyBorder="1" applyProtection="1">
      <protection locked="0"/>
    </xf>
    <xf numFmtId="164" fontId="18" fillId="0" borderId="3" xfId="1" applyNumberFormat="1" applyFont="1" applyBorder="1" applyProtection="1">
      <protection locked="0"/>
    </xf>
    <xf numFmtId="0" fontId="15" fillId="0" borderId="0" xfId="3" applyFont="1"/>
    <xf numFmtId="0" fontId="15" fillId="0" borderId="0" xfId="3" applyFont="1" applyAlignment="1">
      <alignment horizontal="center"/>
    </xf>
    <xf numFmtId="0" fontId="18" fillId="0" borderId="7" xfId="3" applyNumberFormat="1" applyFont="1" applyBorder="1" applyAlignment="1" applyProtection="1">
      <alignment horizontal="left"/>
      <protection locked="0"/>
    </xf>
    <xf numFmtId="0" fontId="15" fillId="0" borderId="7" xfId="3" applyNumberFormat="1" applyFont="1" applyBorder="1" applyAlignment="1" applyProtection="1">
      <alignment horizontal="left"/>
      <protection locked="0"/>
    </xf>
    <xf numFmtId="0" fontId="15" fillId="0" borderId="18" xfId="3" applyFont="1" applyBorder="1" applyAlignment="1">
      <alignment horizontal="center"/>
    </xf>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0" fontId="15" fillId="0" borderId="4" xfId="3" applyNumberFormat="1" applyFont="1" applyBorder="1" applyAlignment="1" applyProtection="1">
      <alignment horizontal="left"/>
      <protection locked="0"/>
    </xf>
    <xf numFmtId="164" fontId="15" fillId="0" borderId="1" xfId="1" applyNumberFormat="1" applyFont="1" applyBorder="1"/>
    <xf numFmtId="164" fontId="15" fillId="3" borderId="0" xfId="1" applyNumberFormat="1" applyFont="1" applyFill="1" applyBorder="1"/>
    <xf numFmtId="164" fontId="15" fillId="0" borderId="0" xfId="1" applyNumberFormat="1" applyFont="1" applyBorder="1"/>
    <xf numFmtId="164" fontId="18" fillId="0" borderId="1" xfId="1" applyNumberFormat="1" applyFont="1" applyBorder="1" applyProtection="1">
      <protection locked="0"/>
    </xf>
    <xf numFmtId="164" fontId="18" fillId="3" borderId="0" xfId="1" applyNumberFormat="1" applyFont="1" applyFill="1" applyBorder="1" applyProtection="1">
      <protection locked="0"/>
    </xf>
    <xf numFmtId="164" fontId="18" fillId="0" borderId="0" xfId="1" applyNumberFormat="1" applyFont="1" applyBorder="1" applyProtection="1">
      <protection locked="0"/>
    </xf>
    <xf numFmtId="164" fontId="18" fillId="0" borderId="16" xfId="1" applyNumberFormat="1" applyFont="1" applyBorder="1" applyProtection="1">
      <protection locked="0"/>
    </xf>
    <xf numFmtId="164" fontId="18" fillId="3" borderId="3" xfId="1" applyNumberFormat="1" applyFont="1" applyFill="1" applyBorder="1" applyProtection="1">
      <protection locked="0"/>
    </xf>
    <xf numFmtId="164" fontId="18" fillId="0" borderId="3" xfId="1" applyNumberFormat="1" applyFont="1" applyBorder="1" applyProtection="1">
      <protection locked="0"/>
    </xf>
    <xf numFmtId="0" fontId="15" fillId="0" borderId="0" xfId="3" applyFont="1"/>
    <xf numFmtId="0" fontId="15" fillId="0" borderId="0" xfId="3" applyFont="1" applyAlignment="1">
      <alignment horizontal="center"/>
    </xf>
    <xf numFmtId="0" fontId="15" fillId="0" borderId="2" xfId="3" applyNumberFormat="1" applyFont="1" applyBorder="1" applyAlignment="1" applyProtection="1">
      <alignment horizontal="center"/>
      <protection locked="0"/>
    </xf>
    <xf numFmtId="38" fontId="15" fillId="0" borderId="2" xfId="3" applyNumberFormat="1" applyFont="1" applyBorder="1" applyAlignment="1" applyProtection="1">
      <alignment horizontal="center"/>
      <protection locked="0"/>
    </xf>
    <xf numFmtId="0" fontId="15" fillId="0" borderId="2" xfId="3" applyFont="1" applyBorder="1" applyAlignment="1">
      <alignment horizontal="center"/>
    </xf>
    <xf numFmtId="0" fontId="15" fillId="3" borderId="2" xfId="3" applyFont="1" applyFill="1" applyBorder="1"/>
    <xf numFmtId="0" fontId="15" fillId="0" borderId="7" xfId="3" applyFont="1" applyBorder="1" applyAlignment="1">
      <alignment horizontal="left"/>
    </xf>
    <xf numFmtId="0" fontId="18" fillId="0" borderId="7" xfId="3" applyNumberFormat="1" applyFont="1" applyBorder="1" applyAlignment="1" applyProtection="1">
      <alignment horizontal="left"/>
      <protection locked="0"/>
    </xf>
    <xf numFmtId="0" fontId="18" fillId="0" borderId="7" xfId="3" applyFont="1" applyBorder="1" applyAlignment="1">
      <alignment horizontal="left"/>
    </xf>
    <xf numFmtId="0" fontId="15" fillId="0" borderId="15" xfId="3" applyNumberFormat="1" applyFont="1" applyBorder="1" applyAlignment="1" applyProtection="1">
      <alignment horizontal="center"/>
      <protection locked="0"/>
    </xf>
    <xf numFmtId="0" fontId="15" fillId="0" borderId="14" xfId="3" applyNumberFormat="1" applyFont="1" applyBorder="1" applyAlignment="1" applyProtection="1">
      <alignment horizontal="center"/>
      <protection locked="0"/>
    </xf>
    <xf numFmtId="0" fontId="15" fillId="3" borderId="5" xfId="3" applyFont="1" applyFill="1" applyBorder="1" applyAlignment="1">
      <alignment horizontal="centerContinuous"/>
    </xf>
    <xf numFmtId="0" fontId="15" fillId="0" borderId="5" xfId="3" applyNumberFormat="1" applyFont="1" applyBorder="1" applyAlignment="1" applyProtection="1">
      <alignment horizontal="center"/>
      <protection locked="0"/>
    </xf>
    <xf numFmtId="0" fontId="15" fillId="0" borderId="5" xfId="3" applyFont="1" applyBorder="1" applyAlignment="1">
      <alignment horizontal="center"/>
    </xf>
    <xf numFmtId="0" fontId="18" fillId="0" borderId="9" xfId="3" applyFont="1" applyBorder="1" applyAlignment="1">
      <alignment horizontal="left"/>
    </xf>
    <xf numFmtId="0" fontId="15" fillId="5" borderId="5" xfId="3" applyFont="1" applyFill="1" applyBorder="1" applyAlignment="1">
      <alignment horizontal="center"/>
    </xf>
    <xf numFmtId="0" fontId="15" fillId="5" borderId="2" xfId="3" applyFont="1" applyFill="1" applyBorder="1" applyAlignment="1">
      <alignment horizontal="center"/>
    </xf>
    <xf numFmtId="0" fontId="15" fillId="5" borderId="6" xfId="3" applyFont="1" applyFill="1" applyBorder="1" applyAlignment="1">
      <alignment horizontal="center"/>
    </xf>
    <xf numFmtId="0" fontId="15" fillId="5" borderId="10" xfId="3" applyFont="1" applyFill="1" applyBorder="1" applyAlignment="1">
      <alignment horizontal="center"/>
    </xf>
    <xf numFmtId="165" fontId="15" fillId="0" borderId="14" xfId="12" applyNumberFormat="1" applyFont="1" applyBorder="1" applyAlignment="1" applyProtection="1">
      <alignment horizontal="center"/>
      <protection locked="0"/>
    </xf>
    <xf numFmtId="165" fontId="15" fillId="3" borderId="5" xfId="12" applyNumberFormat="1" applyFont="1" applyFill="1" applyBorder="1"/>
    <xf numFmtId="165" fontId="15" fillId="0" borderId="5" xfId="12" applyNumberFormat="1" applyFont="1" applyBorder="1" applyAlignment="1" applyProtection="1">
      <alignment horizontal="center"/>
      <protection locked="0"/>
    </xf>
    <xf numFmtId="165" fontId="15" fillId="0" borderId="5" xfId="12" applyNumberFormat="1" applyFont="1" applyBorder="1" applyAlignment="1">
      <alignment horizontal="center"/>
    </xf>
    <xf numFmtId="0" fontId="15" fillId="0" borderId="5" xfId="3" applyFont="1" applyBorder="1"/>
    <xf numFmtId="0" fontId="15" fillId="0" borderId="6" xfId="3" applyFont="1" applyBorder="1"/>
    <xf numFmtId="38" fontId="15" fillId="0" borderId="5" xfId="3" applyNumberFormat="1" applyFont="1" applyBorder="1" applyAlignment="1" applyProtection="1">
      <alignment horizontal="center"/>
      <protection locked="0"/>
    </xf>
    <xf numFmtId="0" fontId="16" fillId="0" borderId="4" xfId="3" applyFont="1" applyBorder="1" applyAlignment="1">
      <alignment horizontal="left"/>
    </xf>
    <xf numFmtId="0" fontId="15" fillId="3" borderId="5" xfId="3" applyFont="1" applyFill="1" applyBorder="1" applyAlignment="1">
      <alignment horizontal="center"/>
    </xf>
    <xf numFmtId="0" fontId="15" fillId="0" borderId="9" xfId="3" applyFont="1" applyBorder="1" applyAlignment="1">
      <alignment horizontal="center"/>
    </xf>
    <xf numFmtId="0" fontId="15" fillId="3" borderId="2" xfId="3" applyFont="1" applyFill="1" applyBorder="1" applyAlignment="1">
      <alignment horizontal="center"/>
    </xf>
    <xf numFmtId="0" fontId="18" fillId="3" borderId="7" xfId="3" applyFont="1" applyFill="1" applyBorder="1" applyAlignment="1">
      <alignment horizontal="left"/>
    </xf>
    <xf numFmtId="164" fontId="15" fillId="0" borderId="15" xfId="1" applyNumberFormat="1" applyFont="1" applyBorder="1" applyProtection="1">
      <protection locked="0"/>
    </xf>
    <xf numFmtId="164" fontId="15" fillId="0" borderId="2" xfId="1" applyNumberFormat="1" applyFont="1" applyBorder="1" applyProtection="1">
      <protection locked="0"/>
    </xf>
    <xf numFmtId="164" fontId="15" fillId="3" borderId="2" xfId="1" applyNumberFormat="1" applyFont="1" applyFill="1" applyBorder="1" applyProtection="1">
      <protection locked="0"/>
    </xf>
    <xf numFmtId="164" fontId="15" fillId="0" borderId="1" xfId="1" applyNumberFormat="1" applyFont="1" applyBorder="1"/>
    <xf numFmtId="164" fontId="15" fillId="3" borderId="0" xfId="1" applyNumberFormat="1" applyFont="1" applyFill="1" applyBorder="1"/>
    <xf numFmtId="164" fontId="15" fillId="0" borderId="0" xfId="1" applyNumberFormat="1" applyFont="1" applyBorder="1"/>
    <xf numFmtId="164" fontId="18" fillId="0" borderId="1" xfId="1" applyNumberFormat="1" applyFont="1" applyBorder="1" applyProtection="1">
      <protection locked="0"/>
    </xf>
    <xf numFmtId="164" fontId="18" fillId="3" borderId="0" xfId="1" applyNumberFormat="1" applyFont="1" applyFill="1" applyBorder="1" applyProtection="1">
      <protection locked="0"/>
    </xf>
    <xf numFmtId="164" fontId="18" fillId="0" borderId="0" xfId="1" applyNumberFormat="1" applyFont="1" applyBorder="1" applyProtection="1">
      <protection locked="0"/>
    </xf>
    <xf numFmtId="164" fontId="18" fillId="3" borderId="3" xfId="1" applyNumberFormat="1" applyFont="1" applyFill="1" applyBorder="1" applyProtection="1">
      <protection locked="0"/>
    </xf>
    <xf numFmtId="164" fontId="15" fillId="3" borderId="5" xfId="1" applyNumberFormat="1" applyFont="1" applyFill="1" applyBorder="1"/>
    <xf numFmtId="0" fontId="15" fillId="0" borderId="2" xfId="3" applyFont="1" applyFill="1" applyBorder="1" applyAlignment="1">
      <alignment horizontal="center"/>
    </xf>
    <xf numFmtId="0" fontId="15" fillId="0" borderId="4" xfId="3" applyFont="1" applyFill="1" applyBorder="1" applyAlignment="1">
      <alignment horizontal="center"/>
    </xf>
    <xf numFmtId="0" fontId="15" fillId="0" borderId="9" xfId="3" applyFont="1" applyFill="1" applyBorder="1" applyAlignment="1">
      <alignment horizontal="center"/>
    </xf>
    <xf numFmtId="0" fontId="15" fillId="0" borderId="6" xfId="3" applyFont="1" applyFill="1" applyBorder="1" applyAlignment="1">
      <alignment horizontal="center"/>
    </xf>
    <xf numFmtId="0" fontId="15" fillId="0" borderId="10" xfId="3" applyFont="1" applyFill="1" applyBorder="1" applyAlignment="1">
      <alignment horizontal="center"/>
    </xf>
    <xf numFmtId="0" fontId="15" fillId="0" borderId="5" xfId="3" applyFont="1" applyFill="1" applyBorder="1" applyAlignment="1">
      <alignment horizontal="center"/>
    </xf>
    <xf numFmtId="37" fontId="18" fillId="0" borderId="0" xfId="1" applyNumberFormat="1" applyFont="1" applyBorder="1" applyProtection="1">
      <protection locked="0"/>
    </xf>
    <xf numFmtId="37" fontId="18" fillId="0" borderId="3" xfId="1" applyNumberFormat="1" applyFont="1" applyBorder="1" applyProtection="1">
      <protection locked="0"/>
    </xf>
    <xf numFmtId="165" fontId="18" fillId="3" borderId="0" xfId="12" applyNumberFormat="1" applyFont="1" applyFill="1" applyBorder="1" applyProtection="1">
      <protection locked="0"/>
    </xf>
    <xf numFmtId="37" fontId="18" fillId="0" borderId="1" xfId="12" applyNumberFormat="1" applyFont="1" applyBorder="1" applyProtection="1">
      <protection locked="0"/>
    </xf>
    <xf numFmtId="37" fontId="18" fillId="3" borderId="0" xfId="12" applyNumberFormat="1" applyFont="1" applyFill="1" applyBorder="1" applyProtection="1">
      <protection locked="0"/>
    </xf>
    <xf numFmtId="37" fontId="18" fillId="0" borderId="0" xfId="12" applyNumberFormat="1" applyFont="1" applyBorder="1" applyProtection="1">
      <protection locked="0"/>
    </xf>
    <xf numFmtId="37" fontId="18" fillId="0" borderId="8" xfId="3" applyNumberFormat="1" applyFont="1" applyBorder="1"/>
    <xf numFmtId="164" fontId="15" fillId="0" borderId="8" xfId="1" applyNumberFormat="1" applyFont="1" applyFill="1" applyBorder="1"/>
    <xf numFmtId="165" fontId="18" fillId="3" borderId="0" xfId="12" applyNumberFormat="1" applyFont="1" applyFill="1" applyBorder="1" applyProtection="1">
      <protection locked="0"/>
    </xf>
    <xf numFmtId="37" fontId="18" fillId="0" borderId="1" xfId="12" applyNumberFormat="1" applyFont="1" applyBorder="1" applyProtection="1">
      <protection locked="0"/>
    </xf>
    <xf numFmtId="37" fontId="18" fillId="3" borderId="0" xfId="12" applyNumberFormat="1" applyFont="1" applyFill="1" applyBorder="1" applyProtection="1">
      <protection locked="0"/>
    </xf>
    <xf numFmtId="37" fontId="18" fillId="0" borderId="0" xfId="12" applyNumberFormat="1" applyFont="1" applyBorder="1" applyProtection="1">
      <protection locked="0"/>
    </xf>
    <xf numFmtId="165" fontId="18" fillId="3" borderId="0" xfId="12" applyNumberFormat="1" applyFont="1" applyFill="1" applyBorder="1" applyProtection="1">
      <protection locked="0"/>
    </xf>
    <xf numFmtId="37" fontId="18" fillId="3" borderId="0" xfId="12" applyNumberFormat="1" applyFont="1" applyFill="1" applyBorder="1" applyProtection="1">
      <protection locked="0"/>
    </xf>
    <xf numFmtId="37" fontId="18" fillId="0" borderId="0" xfId="12" applyNumberFormat="1" applyFont="1" applyBorder="1" applyProtection="1">
      <protection locked="0"/>
    </xf>
    <xf numFmtId="37" fontId="18" fillId="0" borderId="8" xfId="3" applyNumberFormat="1" applyFont="1" applyBorder="1"/>
    <xf numFmtId="37" fontId="18" fillId="0" borderId="1" xfId="12" applyNumberFormat="1" applyFont="1" applyBorder="1" applyAlignment="1" applyProtection="1">
      <alignment horizontal="right"/>
      <protection locked="0"/>
    </xf>
    <xf numFmtId="37" fontId="18" fillId="0" borderId="0" xfId="12" applyNumberFormat="1" applyFont="1" applyBorder="1" applyAlignment="1" applyProtection="1">
      <alignment horizontal="right"/>
      <protection locked="0"/>
    </xf>
    <xf numFmtId="37" fontId="18" fillId="0" borderId="16" xfId="12" applyNumberFormat="1" applyFont="1" applyBorder="1" applyAlignment="1" applyProtection="1">
      <alignment horizontal="right"/>
      <protection locked="0"/>
    </xf>
    <xf numFmtId="37" fontId="18" fillId="3" borderId="3" xfId="12" applyNumberFormat="1" applyFont="1" applyFill="1" applyBorder="1" applyProtection="1">
      <protection locked="0"/>
    </xf>
    <xf numFmtId="37" fontId="18" fillId="0" borderId="3" xfId="12" applyNumberFormat="1" applyFont="1" applyBorder="1" applyAlignment="1" applyProtection="1">
      <alignment horizontal="right"/>
      <protection locked="0"/>
    </xf>
    <xf numFmtId="165" fontId="18" fillId="3" borderId="3" xfId="12" applyNumberFormat="1" applyFont="1" applyFill="1" applyBorder="1" applyProtection="1">
      <protection locked="0"/>
    </xf>
    <xf numFmtId="37" fontId="18" fillId="0" borderId="3" xfId="12" applyNumberFormat="1" applyFont="1" applyBorder="1" applyProtection="1">
      <protection locked="0"/>
    </xf>
    <xf numFmtId="37" fontId="18" fillId="0" borderId="12" xfId="3" applyNumberFormat="1" applyFont="1" applyBorder="1"/>
    <xf numFmtId="167" fontId="18" fillId="0" borderId="1" xfId="12" applyNumberFormat="1" applyFont="1" applyBorder="1" applyProtection="1">
      <protection locked="0"/>
    </xf>
    <xf numFmtId="167" fontId="18" fillId="3" borderId="0" xfId="12" applyNumberFormat="1" applyFont="1" applyFill="1" applyBorder="1" applyProtection="1">
      <protection locked="0"/>
    </xf>
    <xf numFmtId="167" fontId="18" fillId="0" borderId="0" xfId="12" applyNumberFormat="1" applyFont="1" applyBorder="1" applyProtection="1">
      <protection locked="0"/>
    </xf>
    <xf numFmtId="167" fontId="18" fillId="3" borderId="0" xfId="12" applyNumberFormat="1" applyFont="1" applyFill="1" applyBorder="1" applyProtection="1">
      <protection locked="0"/>
    </xf>
    <xf numFmtId="167" fontId="18" fillId="0" borderId="0" xfId="12" applyNumberFormat="1" applyFont="1" applyBorder="1" applyProtection="1">
      <protection locked="0"/>
    </xf>
    <xf numFmtId="167" fontId="25" fillId="0" borderId="1" xfId="13" applyNumberFormat="1" applyFont="1" applyBorder="1"/>
    <xf numFmtId="167" fontId="18" fillId="3" borderId="0" xfId="12" applyNumberFormat="1" applyFont="1" applyFill="1" applyBorder="1" applyProtection="1">
      <protection locked="0"/>
    </xf>
    <xf numFmtId="167" fontId="18" fillId="0" borderId="0" xfId="12" applyNumberFormat="1" applyFont="1" applyBorder="1" applyProtection="1">
      <protection locked="0"/>
    </xf>
    <xf numFmtId="167" fontId="18" fillId="0" borderId="8" xfId="3" applyNumberFormat="1" applyFont="1" applyBorder="1"/>
    <xf numFmtId="167" fontId="18" fillId="0" borderId="1" xfId="12" applyNumberFormat="1" applyFont="1" applyBorder="1" applyAlignment="1" applyProtection="1">
      <alignment horizontal="right"/>
      <protection locked="0"/>
    </xf>
    <xf numFmtId="167" fontId="18" fillId="0" borderId="0" xfId="12" applyNumberFormat="1" applyFont="1" applyBorder="1" applyAlignment="1" applyProtection="1">
      <alignment horizontal="right"/>
      <protection locked="0"/>
    </xf>
    <xf numFmtId="167" fontId="18" fillId="0" borderId="16" xfId="12" applyNumberFormat="1" applyFont="1" applyBorder="1" applyAlignment="1" applyProtection="1">
      <alignment horizontal="right"/>
      <protection locked="0"/>
    </xf>
    <xf numFmtId="167" fontId="18" fillId="3" borderId="3" xfId="12" applyNumberFormat="1" applyFont="1" applyFill="1" applyBorder="1" applyProtection="1">
      <protection locked="0"/>
    </xf>
    <xf numFmtId="167" fontId="18" fillId="0" borderId="3" xfId="12" applyNumberFormat="1" applyFont="1" applyBorder="1" applyAlignment="1" applyProtection="1">
      <alignment horizontal="right"/>
      <protection locked="0"/>
    </xf>
    <xf numFmtId="167" fontId="18" fillId="0" borderId="3" xfId="12" applyNumberFormat="1" applyFont="1" applyBorder="1" applyProtection="1">
      <protection locked="0"/>
    </xf>
    <xf numFmtId="167" fontId="18" fillId="0" borderId="12" xfId="3" applyNumberFormat="1" applyFont="1" applyBorder="1"/>
    <xf numFmtId="0" fontId="15" fillId="0" borderId="0" xfId="3" applyFont="1"/>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0" fontId="15" fillId="0" borderId="18" xfId="3" applyFont="1" applyBorder="1" applyAlignment="1">
      <alignment horizontal="center"/>
    </xf>
    <xf numFmtId="0" fontId="15" fillId="0" borderId="0" xfId="3" applyFont="1" applyAlignment="1">
      <alignment horizontal="center"/>
    </xf>
    <xf numFmtId="0" fontId="18" fillId="0" borderId="7" xfId="3" applyNumberFormat="1" applyFont="1" applyBorder="1" applyAlignment="1" applyProtection="1">
      <alignment horizontal="left"/>
      <protection locked="0"/>
    </xf>
    <xf numFmtId="0" fontId="18" fillId="0" borderId="11" xfId="3" applyNumberFormat="1" applyFont="1" applyBorder="1" applyAlignment="1" applyProtection="1">
      <alignment horizontal="left"/>
      <protection locked="0"/>
    </xf>
    <xf numFmtId="0" fontId="15" fillId="0" borderId="9" xfId="3" applyFont="1" applyBorder="1" applyAlignment="1">
      <alignment horizontal="left"/>
    </xf>
    <xf numFmtId="0" fontId="15" fillId="0" borderId="0" xfId="3" applyFont="1" applyAlignment="1">
      <alignment horizontal="left"/>
    </xf>
    <xf numFmtId="38" fontId="15" fillId="0" borderId="0" xfId="3" applyNumberFormat="1" applyFont="1"/>
    <xf numFmtId="165" fontId="15" fillId="3" borderId="0" xfId="12" applyNumberFormat="1" applyFont="1" applyFill="1" applyBorder="1"/>
    <xf numFmtId="37" fontId="18" fillId="0" borderId="1" xfId="12" applyNumberFormat="1" applyFont="1" applyBorder="1" applyAlignment="1" applyProtection="1">
      <alignment horizontal="center"/>
      <protection locked="0"/>
    </xf>
    <xf numFmtId="37" fontId="18" fillId="3" borderId="0" xfId="12" applyNumberFormat="1" applyFont="1" applyFill="1" applyBorder="1"/>
    <xf numFmtId="37" fontId="18" fillId="0" borderId="0" xfId="12" applyNumberFormat="1" applyFont="1" applyBorder="1" applyAlignment="1" applyProtection="1">
      <alignment horizontal="center"/>
      <protection locked="0"/>
    </xf>
    <xf numFmtId="37" fontId="18" fillId="0" borderId="0" xfId="12" applyNumberFormat="1" applyFont="1" applyBorder="1" applyAlignment="1">
      <alignment horizontal="center"/>
    </xf>
    <xf numFmtId="37" fontId="18" fillId="0" borderId="8" xfId="3" applyNumberFormat="1" applyFont="1" applyBorder="1" applyAlignment="1">
      <alignment horizontal="center"/>
    </xf>
    <xf numFmtId="167" fontId="18" fillId="0" borderId="15" xfId="12" applyNumberFormat="1" applyFont="1" applyBorder="1" applyAlignment="1" applyProtection="1">
      <alignment horizontal="center"/>
      <protection locked="0"/>
    </xf>
    <xf numFmtId="167" fontId="18" fillId="0" borderId="2" xfId="12" applyNumberFormat="1" applyFont="1" applyBorder="1" applyAlignment="1" applyProtection="1">
      <alignment horizontal="center"/>
      <protection locked="0"/>
    </xf>
    <xf numFmtId="167" fontId="18" fillId="3" borderId="2" xfId="12" applyNumberFormat="1" applyFont="1" applyFill="1" applyBorder="1"/>
    <xf numFmtId="167" fontId="18" fillId="0" borderId="2" xfId="12" applyNumberFormat="1" applyFont="1" applyBorder="1" applyAlignment="1">
      <alignment horizontal="center"/>
    </xf>
    <xf numFmtId="165" fontId="15" fillId="3" borderId="2" xfId="12" applyNumberFormat="1" applyFont="1" applyFill="1" applyBorder="1"/>
    <xf numFmtId="167" fontId="18" fillId="0" borderId="10" xfId="3" applyNumberFormat="1" applyFont="1" applyBorder="1" applyAlignment="1">
      <alignment horizontal="center"/>
    </xf>
    <xf numFmtId="6" fontId="18" fillId="5" borderId="0" xfId="3" applyNumberFormat="1" applyFont="1" applyFill="1" applyBorder="1" applyAlignment="1">
      <alignment horizontal="center" vertical="center"/>
    </xf>
    <xf numFmtId="6" fontId="18" fillId="3" borderId="0" xfId="2" applyNumberFormat="1" applyFont="1" applyFill="1" applyBorder="1" applyAlignment="1">
      <alignment horizontal="center" vertical="center"/>
    </xf>
    <xf numFmtId="165" fontId="18" fillId="3" borderId="0" xfId="2" applyNumberFormat="1" applyFont="1" applyFill="1" applyBorder="1"/>
    <xf numFmtId="0" fontId="15" fillId="0" borderId="0" xfId="3" applyFont="1"/>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0" fontId="15" fillId="0" borderId="18" xfId="3" applyFont="1" applyBorder="1" applyAlignment="1">
      <alignment horizontal="center"/>
    </xf>
    <xf numFmtId="0" fontId="15" fillId="0" borderId="0" xfId="3" applyFont="1" applyAlignment="1">
      <alignment horizontal="center"/>
    </xf>
    <xf numFmtId="0" fontId="18" fillId="0" borderId="7" xfId="3" applyNumberFormat="1" applyFont="1" applyBorder="1" applyAlignment="1" applyProtection="1">
      <alignment horizontal="left"/>
      <protection locked="0"/>
    </xf>
    <xf numFmtId="37" fontId="18" fillId="0" borderId="1" xfId="20" applyNumberFormat="1" applyFont="1" applyBorder="1" applyProtection="1">
      <protection locked="0"/>
    </xf>
    <xf numFmtId="37" fontId="18" fillId="3" borderId="0" xfId="20" applyNumberFormat="1" applyFont="1" applyFill="1" applyBorder="1" applyProtection="1">
      <protection locked="0"/>
    </xf>
    <xf numFmtId="37" fontId="18" fillId="0" borderId="0" xfId="20" applyNumberFormat="1" applyFont="1" applyBorder="1" applyProtection="1">
      <protection locked="0"/>
    </xf>
    <xf numFmtId="0" fontId="18" fillId="0" borderId="11" xfId="3" applyNumberFormat="1" applyFont="1" applyBorder="1" applyAlignment="1" applyProtection="1">
      <alignment horizontal="left"/>
      <protection locked="0"/>
    </xf>
    <xf numFmtId="37" fontId="18" fillId="0" borderId="16" xfId="20" applyNumberFormat="1" applyFont="1" applyBorder="1" applyProtection="1">
      <protection locked="0"/>
    </xf>
    <xf numFmtId="37" fontId="18" fillId="3" borderId="3" xfId="20" applyNumberFormat="1" applyFont="1" applyFill="1" applyBorder="1" applyProtection="1">
      <protection locked="0"/>
    </xf>
    <xf numFmtId="37" fontId="18" fillId="0" borderId="3" xfId="20" applyNumberFormat="1" applyFont="1" applyBorder="1" applyProtection="1">
      <protection locked="0"/>
    </xf>
    <xf numFmtId="0" fontId="15" fillId="0" borderId="0" xfId="3" applyFont="1" applyAlignment="1">
      <alignment horizontal="left"/>
    </xf>
    <xf numFmtId="38" fontId="15" fillId="0" borderId="0" xfId="3" applyNumberFormat="1" applyFont="1"/>
    <xf numFmtId="0" fontId="15" fillId="0" borderId="0" xfId="3" applyFont="1"/>
    <xf numFmtId="0" fontId="15" fillId="3" borderId="18" xfId="3" applyFont="1" applyFill="1" applyBorder="1" applyAlignment="1">
      <alignment horizontal="center"/>
    </xf>
    <xf numFmtId="0" fontId="15" fillId="0" borderId="0" xfId="3" applyFont="1" applyAlignment="1">
      <alignment horizontal="center"/>
    </xf>
    <xf numFmtId="0" fontId="18" fillId="0" borderId="7" xfId="3" applyNumberFormat="1" applyFont="1" applyBorder="1" applyAlignment="1" applyProtection="1">
      <alignment horizontal="left"/>
      <protection locked="0"/>
    </xf>
    <xf numFmtId="0" fontId="18" fillId="0" borderId="11" xfId="3" applyNumberFormat="1" applyFont="1" applyBorder="1" applyAlignment="1" applyProtection="1">
      <alignment horizontal="left"/>
      <protection locked="0"/>
    </xf>
    <xf numFmtId="164" fontId="18" fillId="3" borderId="3" xfId="20" applyNumberFormat="1" applyFont="1" applyFill="1" applyBorder="1" applyProtection="1">
      <protection locked="0"/>
    </xf>
    <xf numFmtId="0" fontId="15" fillId="0" borderId="9" xfId="3" applyFont="1" applyBorder="1" applyAlignment="1">
      <alignment horizontal="left"/>
    </xf>
    <xf numFmtId="0" fontId="15" fillId="0" borderId="0" xfId="3" applyFont="1" applyAlignment="1">
      <alignment horizontal="left"/>
    </xf>
    <xf numFmtId="164" fontId="18" fillId="0" borderId="3" xfId="20" applyNumberFormat="1" applyFont="1" applyBorder="1" applyProtection="1">
      <protection locked="0"/>
    </xf>
    <xf numFmtId="164" fontId="18" fillId="0" borderId="16" xfId="20" applyNumberFormat="1" applyFont="1" applyBorder="1" applyProtection="1">
      <protection locked="0"/>
    </xf>
    <xf numFmtId="0" fontId="15" fillId="0" borderId="7" xfId="3" applyNumberFormat="1" applyFont="1" applyBorder="1" applyAlignment="1" applyProtection="1">
      <alignment horizontal="left"/>
      <protection locked="0"/>
    </xf>
    <xf numFmtId="0" fontId="15" fillId="0" borderId="0" xfId="3" applyFont="1"/>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0" fontId="15" fillId="0" borderId="18" xfId="3" applyFont="1" applyBorder="1" applyAlignment="1">
      <alignment horizontal="center"/>
    </xf>
    <xf numFmtId="0" fontId="15" fillId="0" borderId="0" xfId="3" applyFont="1" applyAlignment="1">
      <alignment horizontal="center"/>
    </xf>
    <xf numFmtId="0" fontId="18" fillId="0" borderId="7" xfId="3" applyNumberFormat="1" applyFont="1" applyBorder="1" applyAlignment="1" applyProtection="1">
      <alignment horizontal="left"/>
      <protection locked="0"/>
    </xf>
    <xf numFmtId="0" fontId="15" fillId="0" borderId="7" xfId="3" applyNumberFormat="1" applyFont="1" applyBorder="1" applyAlignment="1" applyProtection="1">
      <alignment horizontal="left"/>
      <protection locked="0"/>
    </xf>
    <xf numFmtId="0" fontId="15" fillId="0" borderId="4" xfId="3" applyNumberFormat="1" applyFont="1" applyBorder="1" applyAlignment="1" applyProtection="1">
      <alignment horizontal="left"/>
      <protection locked="0"/>
    </xf>
    <xf numFmtId="0" fontId="18" fillId="0" borderId="0" xfId="3" applyNumberFormat="1" applyFont="1" applyFill="1" applyBorder="1" applyAlignment="1" applyProtection="1">
      <alignment horizontal="left"/>
      <protection locked="0"/>
    </xf>
    <xf numFmtId="0" fontId="15" fillId="0" borderId="0" xfId="3" applyFont="1" applyFill="1"/>
    <xf numFmtId="0" fontId="15" fillId="0" borderId="9" xfId="3" applyNumberFormat="1" applyFont="1" applyBorder="1" applyAlignment="1" applyProtection="1">
      <alignment horizontal="left"/>
      <protection locked="0"/>
    </xf>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0" fontId="15" fillId="0" borderId="18" xfId="3" applyFont="1" applyBorder="1" applyAlignment="1">
      <alignment horizontal="center"/>
    </xf>
    <xf numFmtId="0" fontId="15" fillId="0" borderId="0" xfId="3" applyFont="1" applyAlignment="1">
      <alignment horizontal="center"/>
    </xf>
    <xf numFmtId="164" fontId="18" fillId="3" borderId="0" xfId="20" applyNumberFormat="1" applyFont="1" applyFill="1" applyBorder="1" applyProtection="1">
      <protection locked="0"/>
    </xf>
    <xf numFmtId="164" fontId="18" fillId="0" borderId="0" xfId="20" applyNumberFormat="1" applyFont="1" applyBorder="1" applyProtection="1">
      <protection locked="0"/>
    </xf>
    <xf numFmtId="164" fontId="18" fillId="0" borderId="1" xfId="20" applyNumberFormat="1" applyFont="1" applyBorder="1" applyProtection="1">
      <protection locked="0"/>
    </xf>
    <xf numFmtId="0" fontId="18" fillId="0" borderId="0" xfId="3" applyNumberFormat="1" applyFont="1" applyFill="1" applyBorder="1" applyAlignment="1" applyProtection="1">
      <alignment horizontal="left"/>
      <protection locked="0"/>
    </xf>
    <xf numFmtId="0" fontId="15" fillId="0" borderId="0" xfId="3" applyFont="1" applyFill="1"/>
    <xf numFmtId="0" fontId="18" fillId="0" borderId="0" xfId="3" applyFont="1"/>
    <xf numFmtId="0" fontId="18" fillId="0" borderId="7" xfId="3" applyNumberFormat="1" applyFont="1" applyBorder="1" applyAlignment="1" applyProtection="1">
      <alignment horizontal="left"/>
      <protection locked="0"/>
    </xf>
    <xf numFmtId="164" fontId="15" fillId="3" borderId="0" xfId="20" applyNumberFormat="1" applyFont="1" applyFill="1" applyBorder="1"/>
    <xf numFmtId="164" fontId="18" fillId="3" borderId="0" xfId="20" applyNumberFormat="1" applyFont="1" applyFill="1" applyBorder="1" applyProtection="1">
      <protection locked="0"/>
    </xf>
    <xf numFmtId="164" fontId="18" fillId="0" borderId="0" xfId="20" applyNumberFormat="1" applyFont="1" applyBorder="1" applyProtection="1">
      <protection locked="0"/>
    </xf>
    <xf numFmtId="164" fontId="18" fillId="0" borderId="1" xfId="20" applyNumberFormat="1" applyFont="1" applyBorder="1" applyProtection="1">
      <protection locked="0"/>
    </xf>
    <xf numFmtId="164" fontId="15" fillId="0" borderId="0" xfId="20" applyNumberFormat="1" applyFont="1" applyBorder="1"/>
    <xf numFmtId="164" fontId="15" fillId="0" borderId="1" xfId="20" applyNumberFormat="1" applyFont="1" applyBorder="1"/>
    <xf numFmtId="0" fontId="15" fillId="0" borderId="7" xfId="3" applyNumberFormat="1" applyFont="1" applyBorder="1" applyAlignment="1" applyProtection="1">
      <alignment horizontal="left"/>
      <protection locked="0"/>
    </xf>
    <xf numFmtId="0" fontId="15" fillId="0" borderId="7" xfId="3" applyNumberFormat="1" applyFont="1" applyBorder="1" applyAlignment="1" applyProtection="1">
      <alignment horizontal="left" wrapText="1"/>
      <protection locked="0"/>
    </xf>
    <xf numFmtId="171" fontId="18" fillId="3" borderId="0" xfId="20" applyNumberFormat="1" applyFont="1" applyFill="1" applyBorder="1" applyProtection="1">
      <protection locked="0"/>
    </xf>
    <xf numFmtId="171" fontId="18" fillId="0" borderId="0" xfId="20" applyNumberFormat="1" applyFont="1" applyBorder="1" applyProtection="1">
      <protection locked="0"/>
    </xf>
    <xf numFmtId="171" fontId="18" fillId="0" borderId="1" xfId="20" applyNumberFormat="1" applyFont="1" applyBorder="1" applyProtection="1">
      <protection locked="0"/>
    </xf>
    <xf numFmtId="43" fontId="15" fillId="3" borderId="0" xfId="20" applyNumberFormat="1" applyFont="1" applyFill="1" applyBorder="1"/>
    <xf numFmtId="43" fontId="15" fillId="0" borderId="0" xfId="20" applyNumberFormat="1" applyFont="1" applyBorder="1"/>
    <xf numFmtId="43" fontId="15" fillId="0" borderId="1" xfId="20" applyNumberFormat="1" applyFont="1" applyBorder="1"/>
    <xf numFmtId="0" fontId="15" fillId="0" borderId="0" xfId="3" applyFont="1"/>
    <xf numFmtId="0" fontId="15" fillId="0" borderId="0" xfId="3" applyFont="1" applyBorder="1" applyAlignment="1"/>
    <xf numFmtId="0" fontId="15" fillId="3" borderId="18" xfId="3" applyFont="1" applyFill="1" applyBorder="1" applyAlignment="1">
      <alignment horizontal="center"/>
    </xf>
    <xf numFmtId="0" fontId="15" fillId="0" borderId="0" xfId="3" applyFont="1" applyAlignment="1">
      <alignment horizontal="center"/>
    </xf>
    <xf numFmtId="0" fontId="18" fillId="0" borderId="7" xfId="3" applyNumberFormat="1" applyFont="1" applyBorder="1" applyAlignment="1" applyProtection="1">
      <alignment horizontal="left"/>
      <protection locked="0"/>
    </xf>
    <xf numFmtId="164" fontId="15" fillId="3" borderId="0" xfId="20" applyNumberFormat="1" applyFont="1" applyFill="1" applyBorder="1"/>
    <xf numFmtId="37" fontId="18" fillId="0" borderId="1" xfId="20" applyNumberFormat="1" applyFont="1" applyBorder="1" applyProtection="1">
      <protection locked="0"/>
    </xf>
    <xf numFmtId="37" fontId="18" fillId="3" borderId="0" xfId="20" applyNumberFormat="1" applyFont="1" applyFill="1" applyBorder="1" applyProtection="1">
      <protection locked="0"/>
    </xf>
    <xf numFmtId="37" fontId="18" fillId="0" borderId="0" xfId="20" applyNumberFormat="1" applyFont="1" applyBorder="1" applyProtection="1">
      <protection locked="0"/>
    </xf>
    <xf numFmtId="164" fontId="18" fillId="3" borderId="0" xfId="20" applyNumberFormat="1" applyFont="1" applyFill="1" applyBorder="1" applyProtection="1">
      <protection locked="0"/>
    </xf>
    <xf numFmtId="37" fontId="18" fillId="0" borderId="16" xfId="20" applyNumberFormat="1" applyFont="1" applyBorder="1" applyProtection="1">
      <protection locked="0"/>
    </xf>
    <xf numFmtId="37" fontId="18" fillId="3" borderId="3" xfId="20" applyNumberFormat="1" applyFont="1" applyFill="1" applyBorder="1" applyProtection="1">
      <protection locked="0"/>
    </xf>
    <xf numFmtId="37" fontId="18" fillId="0" borderId="3" xfId="20" applyNumberFormat="1" applyFont="1" applyBorder="1" applyProtection="1">
      <protection locked="0"/>
    </xf>
    <xf numFmtId="164" fontId="18" fillId="3" borderId="3" xfId="20" applyNumberFormat="1" applyFont="1" applyFill="1" applyBorder="1" applyProtection="1">
      <protection locked="0"/>
    </xf>
    <xf numFmtId="1" fontId="15" fillId="0" borderId="0" xfId="3" applyNumberFormat="1" applyFont="1" applyProtection="1">
      <protection locked="0"/>
    </xf>
    <xf numFmtId="164" fontId="18" fillId="0" borderId="3" xfId="20" applyNumberFormat="1" applyFont="1" applyBorder="1" applyProtection="1">
      <protection locked="0"/>
    </xf>
    <xf numFmtId="164" fontId="18" fillId="0" borderId="16" xfId="20" applyNumberFormat="1" applyFont="1" applyBorder="1" applyProtection="1">
      <protection locked="0"/>
    </xf>
    <xf numFmtId="164" fontId="18" fillId="0" borderId="0" xfId="20" applyNumberFormat="1" applyFont="1" applyBorder="1" applyProtection="1">
      <protection locked="0"/>
    </xf>
    <xf numFmtId="164" fontId="18" fillId="0" borderId="1" xfId="20" applyNumberFormat="1" applyFont="1" applyBorder="1" applyProtection="1">
      <protection locked="0"/>
    </xf>
    <xf numFmtId="0" fontId="15" fillId="3" borderId="5" xfId="3" applyFont="1" applyFill="1" applyBorder="1" applyAlignment="1">
      <alignment horizontal="center"/>
    </xf>
    <xf numFmtId="0" fontId="15" fillId="3" borderId="2" xfId="3" applyFont="1" applyFill="1" applyBorder="1" applyAlignment="1">
      <alignment horizontal="center"/>
    </xf>
    <xf numFmtId="165" fontId="15" fillId="3" borderId="5" xfId="12" applyNumberFormat="1" applyFont="1" applyFill="1" applyBorder="1"/>
    <xf numFmtId="166" fontId="18" fillId="3" borderId="0" xfId="7" applyNumberFormat="1" applyFont="1" applyFill="1" applyBorder="1" applyProtection="1">
      <protection locked="0"/>
    </xf>
    <xf numFmtId="0" fontId="15" fillId="0" borderId="14" xfId="3" applyNumberFormat="1" applyFont="1" applyBorder="1" applyAlignment="1" applyProtection="1">
      <alignment horizontal="center"/>
      <protection locked="0"/>
    </xf>
    <xf numFmtId="0" fontId="15" fillId="0" borderId="5" xfId="3" applyNumberFormat="1" applyFont="1" applyBorder="1" applyAlignment="1" applyProtection="1">
      <alignment horizontal="center"/>
      <protection locked="0"/>
    </xf>
    <xf numFmtId="0" fontId="15" fillId="0" borderId="9" xfId="3" applyFont="1" applyBorder="1" applyAlignment="1">
      <alignment horizontal="center"/>
    </xf>
    <xf numFmtId="0" fontId="15" fillId="0" borderId="15" xfId="3" applyNumberFormat="1" applyFont="1" applyBorder="1" applyAlignment="1" applyProtection="1">
      <alignment horizontal="center"/>
      <protection locked="0"/>
    </xf>
    <xf numFmtId="0" fontId="15" fillId="0" borderId="2" xfId="3" applyNumberFormat="1" applyFont="1" applyBorder="1" applyAlignment="1" applyProtection="1">
      <alignment horizontal="center"/>
      <protection locked="0"/>
    </xf>
    <xf numFmtId="0" fontId="16" fillId="0" borderId="4" xfId="3" applyFont="1" applyBorder="1" applyAlignment="1">
      <alignment horizontal="left"/>
    </xf>
    <xf numFmtId="165" fontId="15" fillId="0" borderId="14" xfId="12" applyNumberFormat="1" applyFont="1" applyBorder="1" applyAlignment="1" applyProtection="1">
      <alignment horizontal="center"/>
      <protection locked="0"/>
    </xf>
    <xf numFmtId="165" fontId="15" fillId="0" borderId="5" xfId="12" applyNumberFormat="1" applyFont="1" applyBorder="1" applyAlignment="1" applyProtection="1">
      <alignment horizontal="center"/>
      <protection locked="0"/>
    </xf>
    <xf numFmtId="0" fontId="15" fillId="0" borderId="9" xfId="3" applyNumberFormat="1" applyFont="1" applyBorder="1" applyAlignment="1" applyProtection="1">
      <alignment horizontal="left"/>
      <protection locked="0"/>
    </xf>
    <xf numFmtId="0" fontId="15" fillId="3" borderId="2" xfId="3" applyFont="1" applyFill="1" applyBorder="1"/>
    <xf numFmtId="0" fontId="15" fillId="0" borderId="5" xfId="3" applyFont="1" applyBorder="1" applyAlignment="1">
      <alignment horizontal="center"/>
    </xf>
    <xf numFmtId="0" fontId="15" fillId="0" borderId="2" xfId="3" applyFont="1" applyBorder="1" applyAlignment="1">
      <alignment horizontal="center"/>
    </xf>
    <xf numFmtId="38" fontId="15" fillId="0" borderId="5" xfId="3" applyNumberFormat="1" applyFont="1" applyBorder="1" applyAlignment="1" applyProtection="1">
      <alignment horizontal="center"/>
      <protection locked="0"/>
    </xf>
    <xf numFmtId="38" fontId="15" fillId="0" borderId="2" xfId="3" applyNumberFormat="1" applyFont="1" applyBorder="1" applyAlignment="1" applyProtection="1">
      <alignment horizontal="center"/>
      <protection locked="0"/>
    </xf>
    <xf numFmtId="0" fontId="15" fillId="5" borderId="5" xfId="3" applyFont="1" applyFill="1" applyBorder="1" applyAlignment="1">
      <alignment horizontal="center"/>
    </xf>
    <xf numFmtId="0" fontId="15" fillId="5" borderId="6" xfId="3" applyFont="1" applyFill="1" applyBorder="1" applyAlignment="1">
      <alignment horizontal="center"/>
    </xf>
    <xf numFmtId="171" fontId="18" fillId="3" borderId="0" xfId="20" applyNumberFormat="1" applyFont="1" applyFill="1" applyBorder="1" applyProtection="1">
      <protection locked="0"/>
    </xf>
    <xf numFmtId="43" fontId="15" fillId="3" borderId="0" xfId="20" applyNumberFormat="1" applyFont="1" applyFill="1" applyBorder="1"/>
    <xf numFmtId="0" fontId="15" fillId="0" borderId="30" xfId="3" applyNumberFormat="1" applyFont="1" applyBorder="1" applyAlignment="1" applyProtection="1">
      <alignment horizontal="left"/>
      <protection locked="0"/>
    </xf>
    <xf numFmtId="164" fontId="15" fillId="3" borderId="32" xfId="20" applyNumberFormat="1" applyFont="1" applyFill="1" applyBorder="1" applyProtection="1">
      <protection locked="0"/>
    </xf>
    <xf numFmtId="43" fontId="15" fillId="3" borderId="32" xfId="20" applyNumberFormat="1" applyFont="1" applyFill="1" applyBorder="1" applyProtection="1">
      <protection locked="0"/>
    </xf>
    <xf numFmtId="0" fontId="15" fillId="0" borderId="30" xfId="3" applyNumberFormat="1" applyFont="1" applyBorder="1" applyAlignment="1" applyProtection="1">
      <alignment horizontal="left" wrapText="1"/>
      <protection locked="0"/>
    </xf>
    <xf numFmtId="171" fontId="15" fillId="3" borderId="32" xfId="20" applyNumberFormat="1" applyFont="1" applyFill="1" applyBorder="1" applyProtection="1">
      <protection locked="0"/>
    </xf>
    <xf numFmtId="0" fontId="15" fillId="0" borderId="4" xfId="3" applyFont="1" applyFill="1" applyBorder="1" applyAlignment="1">
      <alignment horizontal="center"/>
    </xf>
    <xf numFmtId="0" fontId="15" fillId="3" borderId="5" xfId="3" applyFont="1" applyFill="1" applyBorder="1" applyAlignment="1">
      <alignment horizontal="centerContinuous"/>
    </xf>
    <xf numFmtId="0" fontId="15" fillId="0" borderId="5" xfId="3" applyFont="1" applyFill="1" applyBorder="1" applyAlignment="1">
      <alignment horizontal="center"/>
    </xf>
    <xf numFmtId="0" fontId="15" fillId="0" borderId="6" xfId="3" applyFont="1" applyFill="1" applyBorder="1" applyAlignment="1">
      <alignment horizontal="center"/>
    </xf>
    <xf numFmtId="0" fontId="15" fillId="5" borderId="2" xfId="3" applyFont="1" applyFill="1" applyBorder="1" applyAlignment="1">
      <alignment horizontal="center"/>
    </xf>
    <xf numFmtId="0" fontId="15" fillId="5" borderId="10" xfId="3" applyFont="1" applyFill="1" applyBorder="1" applyAlignment="1">
      <alignment horizontal="center"/>
    </xf>
    <xf numFmtId="0" fontId="15" fillId="0" borderId="9" xfId="3" applyFont="1" applyFill="1" applyBorder="1" applyAlignment="1">
      <alignment horizontal="center"/>
    </xf>
    <xf numFmtId="0" fontId="15" fillId="0" borderId="2" xfId="3" applyFont="1" applyFill="1" applyBorder="1" applyAlignment="1">
      <alignment horizontal="center"/>
    </xf>
    <xf numFmtId="0" fontId="15" fillId="0" borderId="10" xfId="3" applyFont="1" applyFill="1" applyBorder="1" applyAlignment="1">
      <alignment horizontal="center"/>
    </xf>
    <xf numFmtId="165" fontId="15" fillId="0" borderId="5" xfId="12" applyNumberFormat="1" applyFont="1" applyBorder="1" applyAlignment="1">
      <alignment horizontal="center"/>
    </xf>
    <xf numFmtId="37" fontId="18" fillId="0" borderId="8" xfId="3" applyNumberFormat="1" applyFont="1" applyBorder="1"/>
    <xf numFmtId="0" fontId="18" fillId="0" borderId="7" xfId="3" applyFont="1" applyBorder="1" applyAlignment="1">
      <alignment horizontal="left"/>
    </xf>
    <xf numFmtId="0" fontId="18" fillId="3" borderId="7" xfId="3" applyFont="1" applyFill="1" applyBorder="1" applyAlignment="1">
      <alignment horizontal="left"/>
    </xf>
    <xf numFmtId="0" fontId="15" fillId="0" borderId="7" xfId="3" applyFont="1" applyBorder="1" applyAlignment="1">
      <alignment horizontal="left"/>
    </xf>
    <xf numFmtId="0" fontId="18" fillId="0" borderId="9" xfId="3" applyFont="1" applyBorder="1" applyAlignment="1">
      <alignment horizontal="left"/>
    </xf>
    <xf numFmtId="38" fontId="18" fillId="5" borderId="5" xfId="3" applyNumberFormat="1" applyFont="1" applyFill="1" applyBorder="1" applyAlignment="1">
      <alignment horizontal="center" vertical="center"/>
    </xf>
    <xf numFmtId="38" fontId="18" fillId="3" borderId="5" xfId="2" applyNumberFormat="1" applyFont="1" applyFill="1" applyBorder="1" applyAlignment="1">
      <alignment horizontal="center" vertical="center"/>
    </xf>
    <xf numFmtId="38" fontId="18" fillId="5" borderId="6" xfId="3" applyNumberFormat="1" applyFont="1" applyFill="1" applyBorder="1" applyAlignment="1">
      <alignment horizontal="center" vertical="center"/>
    </xf>
    <xf numFmtId="38" fontId="18" fillId="5" borderId="0" xfId="3" applyNumberFormat="1" applyFont="1" applyFill="1" applyBorder="1" applyAlignment="1">
      <alignment horizontal="center" vertical="center"/>
    </xf>
    <xf numFmtId="38" fontId="18" fillId="3" borderId="0" xfId="2" applyNumberFormat="1" applyFont="1" applyFill="1" applyBorder="1" applyAlignment="1">
      <alignment horizontal="center" vertical="center"/>
    </xf>
    <xf numFmtId="38" fontId="18" fillId="5" borderId="8" xfId="3" applyNumberFormat="1" applyFont="1" applyFill="1" applyBorder="1" applyAlignment="1">
      <alignment horizontal="center" vertical="center"/>
    </xf>
    <xf numFmtId="164" fontId="15" fillId="0" borderId="31" xfId="20" applyNumberFormat="1" applyFont="1" applyBorder="1" applyProtection="1">
      <protection locked="0"/>
    </xf>
    <xf numFmtId="164" fontId="15" fillId="0" borderId="32" xfId="20" applyNumberFormat="1" applyFont="1" applyBorder="1" applyProtection="1">
      <protection locked="0"/>
    </xf>
    <xf numFmtId="165" fontId="15" fillId="3" borderId="32" xfId="2" applyNumberFormat="1" applyFont="1" applyFill="1" applyBorder="1"/>
    <xf numFmtId="38" fontId="15" fillId="5" borderId="32" xfId="3" applyNumberFormat="1" applyFont="1" applyFill="1" applyBorder="1" applyAlignment="1">
      <alignment horizontal="center" vertical="center"/>
    </xf>
    <xf numFmtId="38" fontId="15" fillId="3" borderId="32" xfId="2" applyNumberFormat="1" applyFont="1" applyFill="1" applyBorder="1" applyAlignment="1">
      <alignment horizontal="center" vertical="center"/>
    </xf>
    <xf numFmtId="38" fontId="15" fillId="5" borderId="33" xfId="3" applyNumberFormat="1" applyFont="1" applyFill="1" applyBorder="1" applyAlignment="1">
      <alignment horizontal="center" vertical="center"/>
    </xf>
    <xf numFmtId="43" fontId="15" fillId="0" borderId="31" xfId="20" applyNumberFormat="1" applyFont="1" applyBorder="1" applyProtection="1">
      <protection locked="0"/>
    </xf>
    <xf numFmtId="43" fontId="15" fillId="0" borderId="32" xfId="20" applyNumberFormat="1" applyFont="1" applyBorder="1" applyProtection="1">
      <protection locked="0"/>
    </xf>
    <xf numFmtId="171" fontId="15" fillId="0" borderId="31" xfId="20" applyNumberFormat="1" applyFont="1" applyBorder="1" applyProtection="1">
      <protection locked="0"/>
    </xf>
    <xf numFmtId="171" fontId="15" fillId="0" borderId="32" xfId="20" applyNumberFormat="1" applyFont="1" applyBorder="1" applyProtection="1">
      <protection locked="0"/>
    </xf>
    <xf numFmtId="6" fontId="15" fillId="5" borderId="32" xfId="3" applyNumberFormat="1" applyFont="1" applyFill="1" applyBorder="1" applyAlignment="1">
      <alignment horizontal="center" vertical="center"/>
    </xf>
    <xf numFmtId="6" fontId="15" fillId="3" borderId="32" xfId="2" applyNumberFormat="1" applyFont="1" applyFill="1" applyBorder="1" applyAlignment="1">
      <alignment horizontal="center" vertical="center"/>
    </xf>
    <xf numFmtId="6" fontId="15" fillId="5" borderId="33" xfId="3" applyNumberFormat="1" applyFont="1" applyFill="1" applyBorder="1" applyAlignment="1">
      <alignment horizontal="center" vertical="center"/>
    </xf>
    <xf numFmtId="38" fontId="15" fillId="0" borderId="13" xfId="3" applyNumberFormat="1" applyFont="1" applyBorder="1" applyAlignment="1">
      <alignment horizontal="center" wrapText="1"/>
    </xf>
    <xf numFmtId="3" fontId="18" fillId="0" borderId="3" xfId="12" applyNumberFormat="1" applyFont="1" applyBorder="1" applyProtection="1">
      <protection locked="0"/>
    </xf>
    <xf numFmtId="38" fontId="15" fillId="3" borderId="18" xfId="3" applyNumberFormat="1" applyFont="1" applyFill="1" applyBorder="1" applyAlignment="1">
      <alignment horizontal="center"/>
    </xf>
    <xf numFmtId="38" fontId="15" fillId="3" borderId="18" xfId="3" applyNumberFormat="1" applyFont="1" applyFill="1" applyBorder="1" applyAlignment="1">
      <alignment horizontal="center" wrapText="1"/>
    </xf>
    <xf numFmtId="37" fontId="18" fillId="0" borderId="16" xfId="12" applyNumberFormat="1" applyFont="1" applyBorder="1" applyProtection="1">
      <protection locked="0"/>
    </xf>
    <xf numFmtId="38" fontId="15" fillId="5" borderId="23" xfId="3" applyNumberFormat="1" applyFont="1" applyFill="1" applyBorder="1" applyAlignment="1">
      <alignment horizontal="center" wrapText="1"/>
    </xf>
    <xf numFmtId="38" fontId="15" fillId="6" borderId="18" xfId="3" applyNumberFormat="1" applyFont="1" applyFill="1" applyBorder="1" applyAlignment="1">
      <alignment horizontal="center" wrapText="1"/>
    </xf>
    <xf numFmtId="38" fontId="15" fillId="5" borderId="13" xfId="3" applyNumberFormat="1" applyFont="1" applyFill="1" applyBorder="1" applyAlignment="1">
      <alignment horizontal="center" wrapText="1"/>
    </xf>
    <xf numFmtId="165" fontId="18" fillId="3" borderId="0" xfId="12" applyNumberFormat="1" applyFont="1" applyFill="1" applyBorder="1" applyProtection="1">
      <protection locked="0"/>
    </xf>
    <xf numFmtId="37" fontId="18" fillId="0" borderId="1" xfId="12" applyNumberFormat="1" applyFont="1" applyBorder="1" applyProtection="1">
      <protection locked="0"/>
    </xf>
    <xf numFmtId="37" fontId="18" fillId="3" borderId="0" xfId="12" applyNumberFormat="1" applyFont="1" applyFill="1" applyBorder="1" applyProtection="1">
      <protection locked="0"/>
    </xf>
    <xf numFmtId="37" fontId="18" fillId="0" borderId="0" xfId="12" applyNumberFormat="1" applyFont="1" applyBorder="1" applyProtection="1">
      <protection locked="0"/>
    </xf>
    <xf numFmtId="3" fontId="18" fillId="0" borderId="0" xfId="12" applyNumberFormat="1" applyFont="1" applyBorder="1" applyProtection="1">
      <protection locked="0"/>
    </xf>
    <xf numFmtId="37" fontId="18" fillId="0" borderId="0" xfId="12" applyNumberFormat="1" applyFont="1" applyBorder="1"/>
    <xf numFmtId="3" fontId="18" fillId="0" borderId="0" xfId="3" applyNumberFormat="1" applyFont="1" applyBorder="1"/>
    <xf numFmtId="3" fontId="18" fillId="0" borderId="8" xfId="3" applyNumberFormat="1" applyFont="1" applyBorder="1"/>
    <xf numFmtId="165" fontId="18" fillId="3" borderId="0" xfId="12" applyNumberFormat="1" applyFont="1" applyFill="1" applyBorder="1" applyProtection="1">
      <protection locked="0"/>
    </xf>
    <xf numFmtId="37" fontId="18" fillId="0" borderId="1" xfId="12" applyNumberFormat="1" applyFont="1" applyBorder="1" applyProtection="1">
      <protection locked="0"/>
    </xf>
    <xf numFmtId="37" fontId="18" fillId="3" borderId="0" xfId="12" applyNumberFormat="1" applyFont="1" applyFill="1" applyBorder="1" applyProtection="1">
      <protection locked="0"/>
    </xf>
    <xf numFmtId="37" fontId="18" fillId="0" borderId="0" xfId="12" applyNumberFormat="1" applyFont="1" applyBorder="1" applyProtection="1">
      <protection locked="0"/>
    </xf>
    <xf numFmtId="3" fontId="18" fillId="0" borderId="0" xfId="12" applyNumberFormat="1" applyFont="1" applyBorder="1" applyProtection="1">
      <protection locked="0"/>
    </xf>
    <xf numFmtId="165" fontId="18" fillId="3" borderId="0" xfId="12" applyNumberFormat="1" applyFont="1" applyFill="1" applyBorder="1" applyProtection="1">
      <protection locked="0"/>
    </xf>
    <xf numFmtId="37" fontId="18" fillId="0" borderId="1" xfId="12" applyNumberFormat="1" applyFont="1" applyBorder="1" applyProtection="1">
      <protection locked="0"/>
    </xf>
    <xf numFmtId="37" fontId="18" fillId="3" borderId="0" xfId="12" applyNumberFormat="1" applyFont="1" applyFill="1" applyBorder="1" applyProtection="1">
      <protection locked="0"/>
    </xf>
    <xf numFmtId="37" fontId="18" fillId="0" borderId="0" xfId="12" applyNumberFormat="1" applyFont="1" applyBorder="1" applyProtection="1">
      <protection locked="0"/>
    </xf>
    <xf numFmtId="3" fontId="18" fillId="0" borderId="0" xfId="12" applyNumberFormat="1" applyFont="1" applyBorder="1" applyProtection="1">
      <protection locked="0"/>
    </xf>
    <xf numFmtId="165" fontId="18" fillId="3" borderId="0" xfId="12" applyNumberFormat="1" applyFont="1" applyFill="1" applyBorder="1" applyProtection="1">
      <protection locked="0"/>
    </xf>
    <xf numFmtId="165" fontId="18" fillId="3" borderId="3" xfId="12" applyNumberFormat="1" applyFont="1" applyFill="1" applyBorder="1" applyProtection="1">
      <protection locked="0"/>
    </xf>
    <xf numFmtId="37" fontId="18" fillId="0" borderId="1" xfId="12" applyNumberFormat="1" applyFont="1" applyBorder="1" applyProtection="1">
      <protection locked="0"/>
    </xf>
    <xf numFmtId="37" fontId="18" fillId="3" borderId="0" xfId="12" applyNumberFormat="1" applyFont="1" applyFill="1" applyBorder="1" applyProtection="1">
      <protection locked="0"/>
    </xf>
    <xf numFmtId="37" fontId="18" fillId="0" borderId="0" xfId="12" applyNumberFormat="1" applyFont="1" applyBorder="1" applyProtection="1">
      <protection locked="0"/>
    </xf>
    <xf numFmtId="37" fontId="18" fillId="3" borderId="3" xfId="12" applyNumberFormat="1" applyFont="1" applyFill="1" applyBorder="1" applyProtection="1">
      <protection locked="0"/>
    </xf>
    <xf numFmtId="167" fontId="18" fillId="0" borderId="1" xfId="12" applyNumberFormat="1" applyFont="1" applyBorder="1" applyProtection="1">
      <protection locked="0"/>
    </xf>
    <xf numFmtId="167" fontId="18" fillId="3" borderId="0" xfId="12" applyNumberFormat="1" applyFont="1" applyFill="1" applyBorder="1" applyProtection="1">
      <protection locked="0"/>
    </xf>
    <xf numFmtId="167" fontId="18" fillId="0" borderId="0" xfId="12" applyNumberFormat="1" applyFont="1" applyBorder="1" applyProtection="1">
      <protection locked="0"/>
    </xf>
    <xf numFmtId="3" fontId="18" fillId="0" borderId="0" xfId="12" applyNumberFormat="1" applyFont="1" applyBorder="1" applyProtection="1">
      <protection locked="0"/>
    </xf>
    <xf numFmtId="37" fontId="18" fillId="0" borderId="3" xfId="12" applyNumberFormat="1" applyFont="1" applyBorder="1" applyProtection="1">
      <protection locked="0"/>
    </xf>
    <xf numFmtId="37" fontId="18" fillId="0" borderId="0" xfId="12" applyNumberFormat="1" applyFont="1" applyBorder="1"/>
    <xf numFmtId="37" fontId="18" fillId="0" borderId="8" xfId="12" applyNumberFormat="1" applyFont="1" applyBorder="1"/>
    <xf numFmtId="38" fontId="16" fillId="0" borderId="1" xfId="3" applyNumberFormat="1" applyFont="1" applyBorder="1" applyAlignment="1" applyProtection="1">
      <alignment horizontal="center" wrapText="1"/>
      <protection locked="0"/>
    </xf>
    <xf numFmtId="0" fontId="15" fillId="0" borderId="0" xfId="3" applyFont="1"/>
    <xf numFmtId="38" fontId="15" fillId="0" borderId="0" xfId="3" applyNumberFormat="1" applyFont="1"/>
    <xf numFmtId="0" fontId="15" fillId="0" borderId="0" xfId="3" applyFont="1" applyAlignment="1">
      <alignment horizontal="center"/>
    </xf>
    <xf numFmtId="0" fontId="15" fillId="0" borderId="0" xfId="3" applyFont="1" applyAlignment="1">
      <alignment horizontal="left"/>
    </xf>
    <xf numFmtId="0" fontId="15" fillId="0" borderId="9" xfId="3" applyFont="1" applyBorder="1" applyAlignment="1">
      <alignment horizontal="left"/>
    </xf>
    <xf numFmtId="0" fontId="18" fillId="0" borderId="7" xfId="3" applyNumberFormat="1" applyFont="1" applyBorder="1" applyAlignment="1" applyProtection="1">
      <alignment horizontal="left"/>
      <protection locked="0"/>
    </xf>
    <xf numFmtId="0" fontId="18" fillId="0" borderId="11" xfId="3" applyNumberFormat="1" applyFont="1" applyBorder="1" applyAlignment="1" applyProtection="1">
      <alignment horizontal="left"/>
      <protection locked="0"/>
    </xf>
    <xf numFmtId="165" fontId="15" fillId="3" borderId="0" xfId="12" applyNumberFormat="1" applyFont="1" applyFill="1" applyBorder="1"/>
    <xf numFmtId="0" fontId="15" fillId="0" borderId="18" xfId="3" applyFont="1" applyBorder="1" applyAlignment="1">
      <alignment horizontal="center"/>
    </xf>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164" fontId="15" fillId="0" borderId="15" xfId="1" applyNumberFormat="1" applyFont="1" applyBorder="1" applyProtection="1">
      <protection locked="0"/>
    </xf>
    <xf numFmtId="164" fontId="15" fillId="0" borderId="2" xfId="1" applyNumberFormat="1" applyFont="1" applyBorder="1" applyProtection="1">
      <protection locked="0"/>
    </xf>
    <xf numFmtId="164" fontId="15" fillId="3" borderId="2" xfId="1" applyNumberFormat="1" applyFont="1" applyFill="1" applyBorder="1" applyProtection="1">
      <protection locked="0"/>
    </xf>
    <xf numFmtId="164" fontId="15" fillId="3" borderId="0" xfId="1" applyNumberFormat="1" applyFont="1" applyFill="1" applyBorder="1"/>
    <xf numFmtId="164" fontId="18" fillId="0" borderId="1" xfId="1" applyNumberFormat="1" applyFont="1" applyBorder="1" applyProtection="1">
      <protection locked="0"/>
    </xf>
    <xf numFmtId="164" fontId="18" fillId="3" borderId="0" xfId="1" applyNumberFormat="1" applyFont="1" applyFill="1" applyBorder="1" applyProtection="1">
      <protection locked="0"/>
    </xf>
    <xf numFmtId="164" fontId="18" fillId="0" borderId="0" xfId="1" applyNumberFormat="1" applyFont="1" applyBorder="1" applyProtection="1">
      <protection locked="0"/>
    </xf>
    <xf numFmtId="164" fontId="18" fillId="3" borderId="3" xfId="1" applyNumberFormat="1" applyFont="1" applyFill="1" applyBorder="1" applyProtection="1">
      <protection locked="0"/>
    </xf>
    <xf numFmtId="0" fontId="15" fillId="2" borderId="17" xfId="3" applyFont="1" applyFill="1" applyBorder="1" applyAlignment="1">
      <alignment horizontal="center"/>
    </xf>
    <xf numFmtId="165" fontId="15" fillId="3" borderId="2" xfId="12" applyNumberFormat="1" applyFont="1" applyFill="1" applyBorder="1"/>
    <xf numFmtId="37" fontId="18" fillId="0" borderId="1" xfId="12" applyNumberFormat="1" applyFont="1" applyBorder="1" applyAlignment="1" applyProtection="1">
      <alignment horizontal="center"/>
      <protection locked="0"/>
    </xf>
    <xf numFmtId="37" fontId="18" fillId="3" borderId="0" xfId="12" applyNumberFormat="1" applyFont="1" applyFill="1" applyBorder="1"/>
    <xf numFmtId="37" fontId="18" fillId="0" borderId="0" xfId="12" applyNumberFormat="1" applyFont="1" applyBorder="1" applyAlignment="1" applyProtection="1">
      <alignment horizontal="center"/>
      <protection locked="0"/>
    </xf>
    <xf numFmtId="37" fontId="18" fillId="0" borderId="0" xfId="12" applyNumberFormat="1" applyFont="1" applyBorder="1" applyAlignment="1">
      <alignment horizontal="center"/>
    </xf>
    <xf numFmtId="167" fontId="18" fillId="0" borderId="15" xfId="12" applyNumberFormat="1" applyFont="1" applyBorder="1" applyAlignment="1" applyProtection="1">
      <alignment horizontal="center"/>
      <protection locked="0"/>
    </xf>
    <xf numFmtId="167" fontId="18" fillId="0" borderId="2" xfId="12" applyNumberFormat="1" applyFont="1" applyBorder="1" applyAlignment="1" applyProtection="1">
      <alignment horizontal="center"/>
      <protection locked="0"/>
    </xf>
    <xf numFmtId="167" fontId="18" fillId="3" borderId="2" xfId="12" applyNumberFormat="1" applyFont="1" applyFill="1" applyBorder="1"/>
    <xf numFmtId="167" fontId="18" fillId="0" borderId="2" xfId="12" applyNumberFormat="1" applyFont="1" applyBorder="1" applyAlignment="1">
      <alignment horizontal="center"/>
    </xf>
    <xf numFmtId="37" fontId="18" fillId="0" borderId="2" xfId="12" applyNumberFormat="1" applyFont="1" applyBorder="1" applyAlignment="1">
      <alignment horizontal="center"/>
    </xf>
    <xf numFmtId="37" fontId="18" fillId="0" borderId="8" xfId="12" applyNumberFormat="1" applyFont="1" applyBorder="1" applyAlignment="1">
      <alignment horizontal="center"/>
    </xf>
    <xf numFmtId="37" fontId="18" fillId="0" borderId="10" xfId="12" applyNumberFormat="1" applyFont="1" applyBorder="1" applyAlignment="1">
      <alignment horizontal="center"/>
    </xf>
    <xf numFmtId="0" fontId="15" fillId="0" borderId="0" xfId="3" applyFont="1"/>
    <xf numFmtId="38" fontId="15" fillId="0" borderId="0" xfId="3" applyNumberFormat="1" applyFont="1"/>
    <xf numFmtId="0" fontId="15" fillId="0" borderId="0" xfId="3" applyFont="1" applyAlignment="1">
      <alignment horizontal="center"/>
    </xf>
    <xf numFmtId="0" fontId="15" fillId="0" borderId="0" xfId="3" applyFont="1" applyAlignment="1">
      <alignment horizontal="left"/>
    </xf>
    <xf numFmtId="0" fontId="15" fillId="0" borderId="9" xfId="3" applyFont="1" applyBorder="1" applyAlignment="1">
      <alignment horizontal="left"/>
    </xf>
    <xf numFmtId="0" fontId="18" fillId="0" borderId="7" xfId="3" applyNumberFormat="1" applyFont="1" applyBorder="1" applyAlignment="1" applyProtection="1">
      <alignment horizontal="left"/>
      <protection locked="0"/>
    </xf>
    <xf numFmtId="0" fontId="18" fillId="0" borderId="11" xfId="3" applyNumberFormat="1" applyFont="1" applyBorder="1" applyAlignment="1" applyProtection="1">
      <alignment horizontal="left"/>
      <protection locked="0"/>
    </xf>
    <xf numFmtId="0" fontId="15" fillId="0" borderId="18" xfId="3" applyFont="1" applyBorder="1" applyAlignment="1">
      <alignment horizontal="center"/>
    </xf>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164" fontId="15" fillId="0" borderId="15" xfId="1" applyNumberFormat="1" applyFont="1" applyBorder="1" applyProtection="1">
      <protection locked="0"/>
    </xf>
    <xf numFmtId="164" fontId="15" fillId="0" borderId="2" xfId="1" applyNumberFormat="1" applyFont="1" applyBorder="1" applyProtection="1">
      <protection locked="0"/>
    </xf>
    <xf numFmtId="164" fontId="15" fillId="3" borderId="2" xfId="1" applyNumberFormat="1" applyFont="1" applyFill="1" applyBorder="1" applyProtection="1">
      <protection locked="0"/>
    </xf>
    <xf numFmtId="164" fontId="15" fillId="3" borderId="0" xfId="1" applyNumberFormat="1" applyFont="1" applyFill="1" applyBorder="1"/>
    <xf numFmtId="164" fontId="18" fillId="0" borderId="1" xfId="1" applyNumberFormat="1" applyFont="1" applyBorder="1" applyProtection="1">
      <protection locked="0"/>
    </xf>
    <xf numFmtId="164" fontId="18" fillId="3" borderId="0" xfId="1" applyNumberFormat="1" applyFont="1" applyFill="1" applyBorder="1" applyProtection="1">
      <protection locked="0"/>
    </xf>
    <xf numFmtId="164" fontId="18" fillId="0" borderId="0" xfId="1" applyNumberFormat="1" applyFont="1" applyBorder="1" applyProtection="1">
      <protection locked="0"/>
    </xf>
    <xf numFmtId="164" fontId="18" fillId="3" borderId="3" xfId="1" applyNumberFormat="1" applyFont="1" applyFill="1" applyBorder="1" applyProtection="1">
      <protection locked="0"/>
    </xf>
    <xf numFmtId="37" fontId="15" fillId="0" borderId="1" xfId="1" applyNumberFormat="1" applyFont="1" applyBorder="1"/>
    <xf numFmtId="37" fontId="15" fillId="3" borderId="0" xfId="1" applyNumberFormat="1" applyFont="1" applyFill="1" applyBorder="1"/>
    <xf numFmtId="37" fontId="15" fillId="0" borderId="0" xfId="1" applyNumberFormat="1" applyFont="1" applyBorder="1"/>
    <xf numFmtId="37" fontId="18" fillId="0" borderId="1" xfId="1" applyNumberFormat="1" applyFont="1" applyBorder="1" applyProtection="1">
      <protection locked="0"/>
    </xf>
    <xf numFmtId="37" fontId="18" fillId="3" borderId="0" xfId="1" applyNumberFormat="1" applyFont="1" applyFill="1" applyBorder="1" applyProtection="1">
      <protection locked="0"/>
    </xf>
    <xf numFmtId="37" fontId="18" fillId="0" borderId="0" xfId="1" applyNumberFormat="1" applyFont="1" applyBorder="1" applyProtection="1">
      <protection locked="0"/>
    </xf>
    <xf numFmtId="37" fontId="18" fillId="0" borderId="1" xfId="1" applyNumberFormat="1" applyFont="1" applyBorder="1"/>
    <xf numFmtId="37" fontId="18" fillId="3" borderId="0" xfId="1" applyNumberFormat="1" applyFont="1" applyFill="1" applyBorder="1"/>
    <xf numFmtId="37" fontId="18" fillId="0" borderId="0" xfId="1" applyNumberFormat="1" applyFont="1" applyBorder="1"/>
    <xf numFmtId="0" fontId="15" fillId="0" borderId="0" xfId="3" applyFont="1"/>
    <xf numFmtId="0" fontId="15" fillId="0" borderId="0" xfId="3" applyFont="1" applyAlignment="1">
      <alignment horizontal="center"/>
    </xf>
    <xf numFmtId="0" fontId="15" fillId="0" borderId="0" xfId="3" applyFont="1" applyAlignment="1">
      <alignment horizontal="left"/>
    </xf>
    <xf numFmtId="0" fontId="15" fillId="0" borderId="9" xfId="3" applyFont="1" applyBorder="1" applyAlignment="1">
      <alignment horizontal="left"/>
    </xf>
    <xf numFmtId="0" fontId="18" fillId="0" borderId="7" xfId="3" applyNumberFormat="1" applyFont="1" applyBorder="1" applyAlignment="1" applyProtection="1">
      <alignment horizontal="left"/>
      <protection locked="0"/>
    </xf>
    <xf numFmtId="0" fontId="18" fillId="0" borderId="11" xfId="3" applyNumberFormat="1" applyFont="1" applyBorder="1" applyAlignment="1" applyProtection="1">
      <alignment horizontal="left"/>
      <protection locked="0"/>
    </xf>
    <xf numFmtId="0" fontId="15" fillId="0" borderId="7" xfId="3" applyNumberFormat="1" applyFont="1" applyBorder="1" applyAlignment="1" applyProtection="1">
      <alignment horizontal="left"/>
      <protection locked="0"/>
    </xf>
    <xf numFmtId="0" fontId="15" fillId="3" borderId="18" xfId="3" applyFont="1" applyFill="1" applyBorder="1" applyAlignment="1">
      <alignment horizontal="center"/>
    </xf>
    <xf numFmtId="164" fontId="15" fillId="3" borderId="2" xfId="1" applyNumberFormat="1" applyFont="1" applyFill="1" applyBorder="1" applyProtection="1">
      <protection locked="0"/>
    </xf>
    <xf numFmtId="164" fontId="15" fillId="0" borderId="1" xfId="1" applyNumberFormat="1" applyFont="1" applyBorder="1"/>
    <xf numFmtId="164" fontId="15" fillId="3" borderId="0" xfId="1" applyNumberFormat="1" applyFont="1" applyFill="1" applyBorder="1"/>
    <xf numFmtId="164" fontId="15" fillId="0" borderId="0" xfId="1" applyNumberFormat="1" applyFont="1" applyBorder="1"/>
    <xf numFmtId="164" fontId="18" fillId="0" borderId="1" xfId="1" applyNumberFormat="1" applyFont="1" applyBorder="1" applyProtection="1">
      <protection locked="0"/>
    </xf>
    <xf numFmtId="164" fontId="18" fillId="3" borderId="0" xfId="1" applyNumberFormat="1" applyFont="1" applyFill="1" applyBorder="1" applyProtection="1">
      <protection locked="0"/>
    </xf>
    <xf numFmtId="164" fontId="18" fillId="0" borderId="0" xfId="1" applyNumberFormat="1" applyFont="1" applyBorder="1" applyProtection="1">
      <protection locked="0"/>
    </xf>
    <xf numFmtId="164" fontId="18" fillId="3" borderId="3" xfId="1" applyNumberFormat="1" applyFont="1" applyFill="1" applyBorder="1" applyProtection="1">
      <protection locked="0"/>
    </xf>
    <xf numFmtId="164" fontId="18" fillId="0" borderId="1" xfId="1" applyNumberFormat="1" applyFont="1" applyBorder="1"/>
    <xf numFmtId="164" fontId="18" fillId="3" borderId="0" xfId="1" applyNumberFormat="1" applyFont="1" applyFill="1" applyBorder="1"/>
    <xf numFmtId="164" fontId="18" fillId="0" borderId="0" xfId="1" applyNumberFormat="1" applyFont="1" applyBorder="1"/>
    <xf numFmtId="0" fontId="15" fillId="0" borderId="0" xfId="3" applyFont="1"/>
    <xf numFmtId="0" fontId="15" fillId="0" borderId="0" xfId="3" applyFont="1" applyBorder="1"/>
    <xf numFmtId="0" fontId="15" fillId="0" borderId="0" xfId="3" applyFont="1" applyAlignment="1">
      <alignment horizontal="center"/>
    </xf>
    <xf numFmtId="0" fontId="15" fillId="2" borderId="17" xfId="3" applyFont="1" applyFill="1" applyBorder="1" applyAlignment="1">
      <alignment horizontal="center"/>
    </xf>
    <xf numFmtId="0" fontId="15" fillId="0" borderId="0" xfId="3" applyFont="1"/>
    <xf numFmtId="38" fontId="15" fillId="0" borderId="0" xfId="3" applyNumberFormat="1" applyFont="1"/>
    <xf numFmtId="0" fontId="15" fillId="0" borderId="0" xfId="3" applyFont="1" applyAlignment="1">
      <alignment horizontal="center"/>
    </xf>
    <xf numFmtId="0" fontId="16" fillId="0" borderId="7" xfId="3" applyNumberFormat="1" applyFont="1" applyBorder="1" applyAlignment="1" applyProtection="1">
      <alignment horizontal="left"/>
      <protection locked="0"/>
    </xf>
    <xf numFmtId="0" fontId="18" fillId="0" borderId="7" xfId="3" applyNumberFormat="1" applyFont="1" applyBorder="1" applyAlignment="1" applyProtection="1">
      <alignment horizontal="left"/>
      <protection locked="0"/>
    </xf>
    <xf numFmtId="0" fontId="15" fillId="0" borderId="7" xfId="3" applyNumberFormat="1" applyFont="1" applyBorder="1" applyAlignment="1" applyProtection="1">
      <alignment horizontal="left"/>
      <protection locked="0"/>
    </xf>
    <xf numFmtId="0" fontId="18" fillId="0" borderId="0" xfId="3" applyNumberFormat="1" applyFont="1" applyFill="1" applyBorder="1" applyAlignment="1" applyProtection="1">
      <alignment horizontal="left"/>
      <protection locked="0"/>
    </xf>
    <xf numFmtId="0" fontId="15" fillId="0" borderId="18" xfId="3" applyFont="1" applyBorder="1" applyAlignment="1">
      <alignment horizontal="center"/>
    </xf>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0" fontId="15" fillId="0" borderId="4" xfId="3" applyNumberFormat="1" applyFont="1" applyBorder="1" applyAlignment="1" applyProtection="1">
      <alignment horizontal="left"/>
      <protection locked="0"/>
    </xf>
    <xf numFmtId="0" fontId="15" fillId="0" borderId="0" xfId="3" applyFont="1" applyFill="1"/>
    <xf numFmtId="164" fontId="15" fillId="3" borderId="0" xfId="1" applyNumberFormat="1" applyFont="1" applyFill="1" applyBorder="1"/>
    <xf numFmtId="164" fontId="18" fillId="3" borderId="0" xfId="1" applyNumberFormat="1" applyFont="1" applyFill="1" applyBorder="1" applyProtection="1">
      <protection locked="0"/>
    </xf>
    <xf numFmtId="0" fontId="18" fillId="0" borderId="7" xfId="3" applyNumberFormat="1" applyFont="1" applyBorder="1" applyAlignment="1" applyProtection="1">
      <alignment horizontal="left" wrapText="1"/>
      <protection locked="0"/>
    </xf>
    <xf numFmtId="0" fontId="15" fillId="2" borderId="17" xfId="3" applyFont="1" applyFill="1" applyBorder="1" applyAlignment="1">
      <alignment horizontal="center"/>
    </xf>
    <xf numFmtId="38" fontId="15" fillId="3" borderId="0" xfId="9" applyNumberFormat="1" applyFont="1" applyFill="1" applyBorder="1"/>
    <xf numFmtId="38" fontId="15" fillId="5" borderId="1" xfId="3" applyNumberFormat="1" applyFont="1" applyFill="1" applyBorder="1"/>
    <xf numFmtId="38" fontId="15" fillId="5" borderId="24" xfId="3" applyNumberFormat="1" applyFont="1" applyFill="1" applyBorder="1"/>
    <xf numFmtId="38" fontId="15" fillId="6" borderId="5" xfId="3" applyNumberFormat="1" applyFont="1" applyFill="1" applyBorder="1" applyAlignment="1">
      <alignment horizontal="center"/>
    </xf>
    <xf numFmtId="38" fontId="15" fillId="3" borderId="5" xfId="3" applyNumberFormat="1" applyFont="1" applyFill="1" applyBorder="1" applyAlignment="1">
      <alignment horizontal="center"/>
    </xf>
    <xf numFmtId="38" fontId="15" fillId="0" borderId="14" xfId="3" applyNumberFormat="1" applyFont="1" applyBorder="1" applyAlignment="1">
      <alignment horizontal="center"/>
    </xf>
    <xf numFmtId="38" fontId="15" fillId="5" borderId="14" xfId="3" applyNumberFormat="1" applyFont="1" applyFill="1" applyBorder="1" applyAlignment="1">
      <alignment horizontal="center" wrapText="1"/>
    </xf>
    <xf numFmtId="38" fontId="15" fillId="5" borderId="34" xfId="3" applyNumberFormat="1" applyFont="1" applyFill="1" applyBorder="1" applyAlignment="1">
      <alignment horizontal="center" wrapText="1"/>
    </xf>
    <xf numFmtId="0" fontId="18" fillId="0" borderId="7" xfId="3" applyNumberFormat="1" applyFont="1" applyBorder="1" applyAlignment="1" applyProtection="1">
      <alignment horizontal="left" wrapText="1" indent="1"/>
      <protection locked="0"/>
    </xf>
    <xf numFmtId="0" fontId="16" fillId="0" borderId="7" xfId="3" applyFont="1" applyBorder="1"/>
    <xf numFmtId="38" fontId="18" fillId="0" borderId="1" xfId="12" applyNumberFormat="1" applyFont="1" applyBorder="1" applyAlignment="1">
      <alignment horizontal="center"/>
    </xf>
    <xf numFmtId="38" fontId="18" fillId="0" borderId="1" xfId="9" applyNumberFormat="1" applyFont="1" applyBorder="1" applyAlignment="1">
      <alignment horizontal="center"/>
    </xf>
    <xf numFmtId="38" fontId="15" fillId="5" borderId="17" xfId="3" applyNumberFormat="1" applyFont="1" applyFill="1" applyBorder="1" applyAlignment="1">
      <alignment horizontal="center" wrapText="1"/>
    </xf>
    <xf numFmtId="38" fontId="15" fillId="5" borderId="4" xfId="3" applyNumberFormat="1" applyFont="1" applyFill="1" applyBorder="1" applyAlignment="1">
      <alignment horizontal="center" wrapText="1"/>
    </xf>
    <xf numFmtId="38" fontId="15" fillId="5" borderId="7" xfId="3" applyNumberFormat="1" applyFont="1" applyFill="1" applyBorder="1"/>
    <xf numFmtId="0" fontId="24" fillId="0" borderId="7" xfId="3" applyNumberFormat="1" applyFont="1" applyBorder="1" applyAlignment="1" applyProtection="1">
      <alignment horizontal="right" wrapText="1" indent="1"/>
      <protection locked="0"/>
    </xf>
    <xf numFmtId="166" fontId="24" fillId="0" borderId="1" xfId="8" applyNumberFormat="1" applyFont="1" applyBorder="1" applyAlignment="1">
      <alignment horizontal="center"/>
    </xf>
    <xf numFmtId="38" fontId="30" fillId="3" borderId="0" xfId="9" applyNumberFormat="1" applyFont="1" applyFill="1" applyBorder="1"/>
    <xf numFmtId="38" fontId="30" fillId="5" borderId="7" xfId="3" applyNumberFormat="1" applyFont="1" applyFill="1" applyBorder="1"/>
    <xf numFmtId="38" fontId="30" fillId="5" borderId="1" xfId="3" applyNumberFormat="1" applyFont="1" applyFill="1" applyBorder="1"/>
    <xf numFmtId="38" fontId="30" fillId="5" borderId="24" xfId="3" applyNumberFormat="1" applyFont="1" applyFill="1" applyBorder="1"/>
    <xf numFmtId="0" fontId="30" fillId="0" borderId="0" xfId="3" applyFont="1"/>
    <xf numFmtId="38" fontId="24" fillId="6" borderId="0" xfId="12" applyNumberFormat="1" applyFont="1" applyFill="1" applyBorder="1" applyAlignment="1">
      <alignment horizontal="center"/>
    </xf>
    <xf numFmtId="166" fontId="24" fillId="0" borderId="1" xfId="8" applyNumberFormat="1" applyFont="1" applyFill="1" applyBorder="1" applyAlignment="1">
      <alignment horizontal="center"/>
    </xf>
    <xf numFmtId="38" fontId="24" fillId="3" borderId="0" xfId="12" applyNumberFormat="1" applyFont="1" applyFill="1" applyBorder="1" applyAlignment="1">
      <alignment horizontal="center"/>
    </xf>
    <xf numFmtId="38" fontId="15" fillId="3" borderId="0" xfId="1" applyNumberFormat="1" applyFont="1" applyFill="1" applyBorder="1"/>
    <xf numFmtId="0" fontId="18" fillId="0" borderId="7" xfId="3" applyNumberFormat="1" applyFont="1" applyFill="1" applyBorder="1" applyAlignment="1" applyProtection="1">
      <alignment horizontal="left" wrapText="1" indent="1"/>
      <protection locked="0"/>
    </xf>
    <xf numFmtId="0" fontId="24" fillId="0" borderId="9" xfId="3" applyNumberFormat="1" applyFont="1" applyBorder="1" applyAlignment="1" applyProtection="1">
      <alignment horizontal="right" wrapText="1" indent="1"/>
      <protection locked="0"/>
    </xf>
    <xf numFmtId="166" fontId="24" fillId="0" borderId="15" xfId="8" applyNumberFormat="1" applyFont="1" applyBorder="1" applyAlignment="1">
      <alignment horizontal="center"/>
    </xf>
    <xf numFmtId="38" fontId="24" fillId="6" borderId="2" xfId="12" applyNumberFormat="1" applyFont="1" applyFill="1" applyBorder="1" applyAlignment="1">
      <alignment horizontal="center"/>
    </xf>
    <xf numFmtId="166" fontId="24" fillId="0" borderId="15" xfId="8" applyNumberFormat="1" applyFont="1" applyFill="1" applyBorder="1" applyAlignment="1">
      <alignment horizontal="center"/>
    </xf>
    <xf numFmtId="38" fontId="24" fillId="3" borderId="2" xfId="12" applyNumberFormat="1" applyFont="1" applyFill="1" applyBorder="1" applyAlignment="1">
      <alignment horizontal="center"/>
    </xf>
    <xf numFmtId="38" fontId="30" fillId="3" borderId="2" xfId="9" applyNumberFormat="1" applyFont="1" applyFill="1" applyBorder="1"/>
    <xf numFmtId="38" fontId="18" fillId="0" borderId="0" xfId="15" applyNumberFormat="1" applyFont="1" applyBorder="1" applyAlignment="1">
      <alignment horizontal="center"/>
    </xf>
    <xf numFmtId="0" fontId="18" fillId="0" borderId="0" xfId="3" applyFont="1" applyBorder="1"/>
    <xf numFmtId="166" fontId="15" fillId="0" borderId="1" xfId="8" applyNumberFormat="1" applyFont="1" applyBorder="1" applyProtection="1">
      <protection locked="0"/>
    </xf>
    <xf numFmtId="0" fontId="18" fillId="0" borderId="8" xfId="3" applyFont="1" applyBorder="1"/>
    <xf numFmtId="0" fontId="18" fillId="0" borderId="3" xfId="3" applyFont="1" applyBorder="1"/>
    <xf numFmtId="0" fontId="18" fillId="0" borderId="12" xfId="3" applyFont="1" applyBorder="1"/>
    <xf numFmtId="0" fontId="15" fillId="0" borderId="0" xfId="3" applyFont="1"/>
    <xf numFmtId="0" fontId="15" fillId="0" borderId="0" xfId="3" applyFont="1" applyAlignment="1">
      <alignment horizontal="center"/>
    </xf>
    <xf numFmtId="0" fontId="15" fillId="0" borderId="2" xfId="3" applyNumberFormat="1" applyFont="1" applyBorder="1" applyAlignment="1" applyProtection="1">
      <alignment horizontal="center"/>
      <protection locked="0"/>
    </xf>
    <xf numFmtId="38" fontId="15" fillId="0" borderId="2" xfId="3" applyNumberFormat="1" applyFont="1" applyBorder="1" applyAlignment="1" applyProtection="1">
      <alignment horizontal="center"/>
      <protection locked="0"/>
    </xf>
    <xf numFmtId="0" fontId="15" fillId="0" borderId="2" xfId="3" applyFont="1" applyBorder="1" applyAlignment="1">
      <alignment horizontal="center"/>
    </xf>
    <xf numFmtId="0" fontId="15" fillId="3" borderId="2" xfId="3" applyFont="1" applyFill="1" applyBorder="1"/>
    <xf numFmtId="0" fontId="16" fillId="0" borderId="7" xfId="3" applyNumberFormat="1" applyFont="1" applyBorder="1" applyAlignment="1" applyProtection="1">
      <alignment horizontal="left"/>
      <protection locked="0"/>
    </xf>
    <xf numFmtId="0" fontId="18" fillId="0" borderId="7" xfId="3" applyNumberFormat="1" applyFont="1" applyBorder="1" applyAlignment="1" applyProtection="1">
      <alignment horizontal="left"/>
      <protection locked="0"/>
    </xf>
    <xf numFmtId="0" fontId="15" fillId="0" borderId="7" xfId="3" applyNumberFormat="1" applyFont="1" applyBorder="1" applyAlignment="1" applyProtection="1">
      <alignment horizontal="left"/>
      <protection locked="0"/>
    </xf>
    <xf numFmtId="0" fontId="15" fillId="0" borderId="15" xfId="3" applyNumberFormat="1" applyFont="1" applyBorder="1" applyAlignment="1" applyProtection="1">
      <alignment horizontal="center"/>
      <protection locked="0"/>
    </xf>
    <xf numFmtId="0" fontId="15" fillId="0" borderId="14" xfId="3" applyNumberFormat="1" applyFont="1" applyBorder="1" applyAlignment="1" applyProtection="1">
      <alignment horizontal="center"/>
      <protection locked="0"/>
    </xf>
    <xf numFmtId="0" fontId="15" fillId="3" borderId="5" xfId="3" applyFont="1" applyFill="1" applyBorder="1" applyAlignment="1">
      <alignment horizontal="centerContinuous"/>
    </xf>
    <xf numFmtId="0" fontId="15" fillId="0" borderId="5" xfId="3" applyNumberFormat="1" applyFont="1" applyBorder="1" applyAlignment="1" applyProtection="1">
      <alignment horizontal="center"/>
      <protection locked="0"/>
    </xf>
    <xf numFmtId="0" fontId="15" fillId="0" borderId="5" xfId="3" applyFont="1" applyBorder="1" applyAlignment="1">
      <alignment horizontal="center"/>
    </xf>
    <xf numFmtId="0" fontId="15" fillId="5" borderId="5" xfId="3" applyFont="1" applyFill="1" applyBorder="1" applyAlignment="1">
      <alignment horizontal="center"/>
    </xf>
    <xf numFmtId="0" fontId="15" fillId="5" borderId="2" xfId="3" applyFont="1" applyFill="1" applyBorder="1" applyAlignment="1">
      <alignment horizontal="center"/>
    </xf>
    <xf numFmtId="0" fontId="15" fillId="5" borderId="6" xfId="3" applyFont="1" applyFill="1" applyBorder="1" applyAlignment="1">
      <alignment horizontal="center"/>
    </xf>
    <xf numFmtId="0" fontId="15" fillId="5" borderId="10" xfId="3" applyFont="1" applyFill="1" applyBorder="1" applyAlignment="1">
      <alignment horizontal="center"/>
    </xf>
    <xf numFmtId="165" fontId="18" fillId="0" borderId="1" xfId="12" applyNumberFormat="1" applyFont="1" applyBorder="1" applyProtection="1">
      <protection locked="0"/>
    </xf>
    <xf numFmtId="165" fontId="18" fillId="0" borderId="0" xfId="12" applyNumberFormat="1" applyFont="1" applyBorder="1" applyProtection="1">
      <protection locked="0"/>
    </xf>
    <xf numFmtId="0" fontId="18" fillId="0" borderId="0" xfId="3" applyNumberFormat="1" applyFont="1" applyFill="1" applyBorder="1" applyAlignment="1" applyProtection="1">
      <alignment horizontal="left"/>
      <protection locked="0"/>
    </xf>
    <xf numFmtId="0" fontId="15" fillId="0" borderId="6" xfId="3" applyFont="1" applyBorder="1"/>
    <xf numFmtId="38" fontId="15" fillId="0" borderId="5" xfId="3" applyNumberFormat="1" applyFont="1" applyBorder="1" applyAlignment="1" applyProtection="1">
      <alignment horizontal="center"/>
      <protection locked="0"/>
    </xf>
    <xf numFmtId="0" fontId="15" fillId="3" borderId="5" xfId="3" applyFont="1" applyFill="1" applyBorder="1" applyAlignment="1">
      <alignment horizontal="center"/>
    </xf>
    <xf numFmtId="0" fontId="15" fillId="0" borderId="9" xfId="3" applyFont="1" applyBorder="1" applyAlignment="1">
      <alignment horizontal="center"/>
    </xf>
    <xf numFmtId="0" fontId="15" fillId="3" borderId="2" xfId="3" applyFont="1" applyFill="1" applyBorder="1" applyAlignment="1">
      <alignment horizontal="center"/>
    </xf>
    <xf numFmtId="0" fontId="15" fillId="0" borderId="18" xfId="3" applyFont="1" applyBorder="1" applyAlignment="1">
      <alignment horizontal="center"/>
    </xf>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0" fontId="15" fillId="0" borderId="4" xfId="3" applyNumberFormat="1" applyFont="1" applyBorder="1" applyAlignment="1" applyProtection="1">
      <alignment horizontal="left"/>
      <protection locked="0"/>
    </xf>
    <xf numFmtId="0" fontId="15" fillId="0" borderId="0" xfId="3" applyFont="1" applyFill="1"/>
    <xf numFmtId="164" fontId="15" fillId="0" borderId="15" xfId="1" applyNumberFormat="1" applyFont="1" applyBorder="1" applyProtection="1">
      <protection locked="0"/>
    </xf>
    <xf numFmtId="164" fontId="15" fillId="0" borderId="2" xfId="1" applyNumberFormat="1" applyFont="1" applyBorder="1" applyProtection="1">
      <protection locked="0"/>
    </xf>
    <xf numFmtId="164" fontId="15" fillId="3" borderId="2" xfId="1" applyNumberFormat="1" applyFont="1" applyFill="1" applyBorder="1" applyProtection="1">
      <protection locked="0"/>
    </xf>
    <xf numFmtId="164" fontId="15" fillId="0" borderId="1" xfId="1" applyNumberFormat="1" applyFont="1" applyBorder="1"/>
    <xf numFmtId="164" fontId="15" fillId="3" borderId="0" xfId="1" applyNumberFormat="1" applyFont="1" applyFill="1" applyBorder="1"/>
    <xf numFmtId="164" fontId="15" fillId="0" borderId="0" xfId="1" applyNumberFormat="1" applyFont="1" applyBorder="1"/>
    <xf numFmtId="164" fontId="18" fillId="0" borderId="1" xfId="1" applyNumberFormat="1" applyFont="1" applyBorder="1" applyProtection="1">
      <protection locked="0"/>
    </xf>
    <xf numFmtId="164" fontId="18" fillId="3" borderId="0" xfId="1" applyNumberFormat="1" applyFont="1" applyFill="1" applyBorder="1" applyProtection="1">
      <protection locked="0"/>
    </xf>
    <xf numFmtId="164" fontId="18" fillId="0" borderId="0" xfId="1" applyNumberFormat="1" applyFont="1" applyBorder="1" applyProtection="1">
      <protection locked="0"/>
    </xf>
    <xf numFmtId="166" fontId="18" fillId="3" borderId="0" xfId="7" applyNumberFormat="1" applyFont="1" applyFill="1" applyBorder="1" applyProtection="1">
      <protection locked="0"/>
    </xf>
    <xf numFmtId="164" fontId="18" fillId="3" borderId="3" xfId="1" applyNumberFormat="1" applyFont="1" applyFill="1" applyBorder="1" applyProtection="1">
      <protection locked="0"/>
    </xf>
    <xf numFmtId="164" fontId="18" fillId="0" borderId="3" xfId="1" applyNumberFormat="1" applyFont="1" applyBorder="1" applyProtection="1">
      <protection locked="0"/>
    </xf>
    <xf numFmtId="164" fontId="15" fillId="3" borderId="5" xfId="1" applyNumberFormat="1" applyFont="1" applyFill="1" applyBorder="1"/>
    <xf numFmtId="0" fontId="18" fillId="0" borderId="7" xfId="3" applyNumberFormat="1" applyFont="1" applyBorder="1" applyAlignment="1" applyProtection="1">
      <alignment horizontal="left" wrapText="1"/>
      <protection locked="0"/>
    </xf>
    <xf numFmtId="0" fontId="15" fillId="0" borderId="2" xfId="3" applyFont="1" applyFill="1" applyBorder="1" applyAlignment="1">
      <alignment horizontal="center"/>
    </xf>
    <xf numFmtId="0" fontId="15" fillId="2" borderId="17" xfId="3" applyFont="1" applyFill="1" applyBorder="1" applyAlignment="1">
      <alignment horizontal="center"/>
    </xf>
    <xf numFmtId="0" fontId="15" fillId="0" borderId="4" xfId="3" applyFont="1" applyFill="1" applyBorder="1" applyAlignment="1">
      <alignment horizontal="center"/>
    </xf>
    <xf numFmtId="0" fontId="15" fillId="0" borderId="9" xfId="3" applyFont="1" applyFill="1" applyBorder="1" applyAlignment="1">
      <alignment horizontal="center"/>
    </xf>
    <xf numFmtId="0" fontId="15" fillId="0" borderId="6" xfId="3" applyFont="1" applyFill="1" applyBorder="1" applyAlignment="1">
      <alignment horizontal="center"/>
    </xf>
    <xf numFmtId="0" fontId="15" fillId="0" borderId="10" xfId="3" applyFont="1" applyFill="1" applyBorder="1" applyAlignment="1">
      <alignment horizontal="center"/>
    </xf>
    <xf numFmtId="0" fontId="15" fillId="0" borderId="5" xfId="3" applyFont="1" applyFill="1" applyBorder="1" applyAlignment="1">
      <alignment horizontal="center"/>
    </xf>
    <xf numFmtId="164" fontId="15" fillId="3" borderId="2" xfId="1" applyNumberFormat="1" applyFont="1" applyFill="1" applyBorder="1"/>
    <xf numFmtId="164" fontId="18" fillId="0" borderId="1" xfId="1" applyNumberFormat="1" applyFont="1" applyBorder="1"/>
    <xf numFmtId="164" fontId="18" fillId="3" borderId="0" xfId="1" applyNumberFormat="1" applyFont="1" applyFill="1" applyBorder="1"/>
    <xf numFmtId="164" fontId="18" fillId="0" borderId="0" xfId="1" applyNumberFormat="1" applyFont="1" applyBorder="1"/>
    <xf numFmtId="3" fontId="18" fillId="0" borderId="0" xfId="12" applyNumberFormat="1" applyFont="1" applyBorder="1" applyProtection="1">
      <protection locked="0"/>
    </xf>
    <xf numFmtId="37" fontId="18" fillId="0" borderId="8" xfId="12" applyNumberFormat="1" applyFont="1" applyBorder="1" applyAlignment="1">
      <alignment horizontal="center"/>
    </xf>
    <xf numFmtId="165" fontId="18" fillId="3" borderId="0" xfId="12" applyNumberFormat="1" applyFont="1" applyFill="1" applyBorder="1" applyProtection="1">
      <protection locked="0"/>
    </xf>
    <xf numFmtId="165" fontId="18" fillId="3" borderId="3" xfId="12" applyNumberFormat="1" applyFont="1" applyFill="1" applyBorder="1" applyProtection="1">
      <protection locked="0"/>
    </xf>
    <xf numFmtId="0" fontId="18" fillId="7" borderId="7" xfId="3" applyNumberFormat="1" applyFont="1" applyFill="1" applyBorder="1" applyAlignment="1" applyProtection="1">
      <alignment horizontal="left"/>
      <protection locked="0"/>
    </xf>
    <xf numFmtId="38" fontId="18" fillId="3" borderId="0" xfId="15" applyNumberFormat="1" applyFont="1" applyFill="1" applyBorder="1" applyAlignment="1">
      <alignment horizontal="center"/>
    </xf>
    <xf numFmtId="38" fontId="18" fillId="0" borderId="1" xfId="15" applyNumberFormat="1" applyFont="1" applyBorder="1" applyAlignment="1">
      <alignment horizontal="center"/>
    </xf>
    <xf numFmtId="0" fontId="15" fillId="0" borderId="0" xfId="3" applyFont="1" applyAlignment="1">
      <alignment horizontal="center"/>
    </xf>
    <xf numFmtId="0" fontId="15" fillId="0" borderId="0" xfId="3" applyFont="1"/>
    <xf numFmtId="0" fontId="16" fillId="0" borderId="4" xfId="3" applyFont="1" applyBorder="1" applyAlignment="1">
      <alignment horizontal="left"/>
    </xf>
    <xf numFmtId="38" fontId="15" fillId="0" borderId="0" xfId="3" applyNumberFormat="1" applyFont="1"/>
    <xf numFmtId="165" fontId="15" fillId="3" borderId="5" xfId="12" applyNumberFormat="1" applyFont="1" applyFill="1" applyBorder="1"/>
    <xf numFmtId="165" fontId="15" fillId="0" borderId="5" xfId="12" applyNumberFormat="1" applyFont="1" applyBorder="1" applyAlignment="1">
      <alignment horizontal="center"/>
    </xf>
    <xf numFmtId="0" fontId="18" fillId="0" borderId="7" xfId="3" applyNumberFormat="1" applyFont="1" applyBorder="1" applyAlignment="1" applyProtection="1">
      <alignment horizontal="left"/>
      <protection locked="0"/>
    </xf>
    <xf numFmtId="37" fontId="18" fillId="0" borderId="1" xfId="12" applyNumberFormat="1" applyFont="1" applyBorder="1" applyProtection="1">
      <protection locked="0"/>
    </xf>
    <xf numFmtId="37" fontId="18" fillId="3" borderId="0" xfId="12" applyNumberFormat="1" applyFont="1" applyFill="1" applyBorder="1" applyProtection="1">
      <protection locked="0"/>
    </xf>
    <xf numFmtId="37" fontId="18" fillId="0" borderId="0" xfId="12" applyNumberFormat="1" applyFont="1" applyBorder="1" applyProtection="1">
      <protection locked="0"/>
    </xf>
    <xf numFmtId="165" fontId="18" fillId="3" borderId="0" xfId="12" applyNumberFormat="1" applyFont="1" applyFill="1" applyBorder="1" applyProtection="1">
      <protection locked="0"/>
    </xf>
    <xf numFmtId="37" fontId="18" fillId="0" borderId="0" xfId="3" applyNumberFormat="1" applyFont="1" applyBorder="1"/>
    <xf numFmtId="0" fontId="18" fillId="0" borderId="7" xfId="3" applyFont="1" applyBorder="1" applyAlignment="1">
      <alignment horizontal="left"/>
    </xf>
    <xf numFmtId="0" fontId="18" fillId="0" borderId="11" xfId="3" applyNumberFormat="1" applyFont="1" applyBorder="1" applyAlignment="1" applyProtection="1">
      <alignment horizontal="left"/>
      <protection locked="0"/>
    </xf>
    <xf numFmtId="37" fontId="18" fillId="3" borderId="3" xfId="12" applyNumberFormat="1" applyFont="1" applyFill="1" applyBorder="1" applyProtection="1">
      <protection locked="0"/>
    </xf>
    <xf numFmtId="165" fontId="18" fillId="3" borderId="3" xfId="12" applyNumberFormat="1" applyFont="1" applyFill="1" applyBorder="1" applyProtection="1">
      <protection locked="0"/>
    </xf>
    <xf numFmtId="37" fontId="18" fillId="0" borderId="3" xfId="12" applyNumberFormat="1" applyFont="1" applyBorder="1" applyProtection="1">
      <protection locked="0"/>
    </xf>
    <xf numFmtId="0" fontId="18" fillId="3" borderId="7" xfId="3" applyFont="1" applyFill="1" applyBorder="1" applyAlignment="1">
      <alignment horizontal="left"/>
    </xf>
    <xf numFmtId="165" fontId="15" fillId="0" borderId="14" xfId="12" applyNumberFormat="1" applyFont="1" applyBorder="1" applyAlignment="1" applyProtection="1">
      <alignment horizontal="center"/>
      <protection locked="0"/>
    </xf>
    <xf numFmtId="165" fontId="15" fillId="0" borderId="5" xfId="12" applyNumberFormat="1" applyFont="1" applyBorder="1" applyAlignment="1" applyProtection="1">
      <alignment horizontal="center"/>
      <protection locked="0"/>
    </xf>
    <xf numFmtId="0" fontId="15" fillId="0" borderId="5" xfId="3" applyFont="1" applyBorder="1"/>
    <xf numFmtId="167" fontId="18" fillId="0" borderId="1" xfId="12" applyNumberFormat="1" applyFont="1" applyBorder="1" applyProtection="1">
      <protection locked="0"/>
    </xf>
    <xf numFmtId="167" fontId="18" fillId="3" borderId="0" xfId="12" applyNumberFormat="1" applyFont="1" applyFill="1" applyBorder="1" applyProtection="1">
      <protection locked="0"/>
    </xf>
    <xf numFmtId="167" fontId="18" fillId="0" borderId="0" xfId="12" applyNumberFormat="1" applyFont="1" applyBorder="1" applyProtection="1">
      <protection locked="0"/>
    </xf>
    <xf numFmtId="0" fontId="15" fillId="0" borderId="7" xfId="3" applyFont="1" applyBorder="1" applyAlignment="1">
      <alignment horizontal="left"/>
    </xf>
    <xf numFmtId="37" fontId="18" fillId="0" borderId="1" xfId="12" applyNumberFormat="1" applyFont="1" applyBorder="1" applyAlignment="1" applyProtection="1">
      <alignment horizontal="center"/>
      <protection locked="0"/>
    </xf>
    <xf numFmtId="37" fontId="18" fillId="3" borderId="0" xfId="12" applyNumberFormat="1" applyFont="1" applyFill="1" applyBorder="1"/>
    <xf numFmtId="37" fontId="18" fillId="0" borderId="0" xfId="12" applyNumberFormat="1" applyFont="1" applyBorder="1" applyAlignment="1" applyProtection="1">
      <alignment horizontal="center"/>
      <protection locked="0"/>
    </xf>
    <xf numFmtId="37" fontId="18" fillId="0" borderId="0" xfId="12" applyNumberFormat="1" applyFont="1" applyBorder="1" applyAlignment="1">
      <alignment horizontal="center"/>
    </xf>
    <xf numFmtId="0" fontId="18" fillId="0" borderId="9" xfId="3" applyFont="1" applyBorder="1" applyAlignment="1">
      <alignment horizontal="left"/>
    </xf>
    <xf numFmtId="167" fontId="18" fillId="0" borderId="15" xfId="12" applyNumberFormat="1" applyFont="1" applyBorder="1" applyAlignment="1" applyProtection="1">
      <alignment horizontal="center"/>
      <protection locked="0"/>
    </xf>
    <xf numFmtId="167" fontId="18" fillId="0" borderId="2" xfId="12" applyNumberFormat="1" applyFont="1" applyBorder="1" applyAlignment="1" applyProtection="1">
      <alignment horizontal="center"/>
      <protection locked="0"/>
    </xf>
    <xf numFmtId="167" fontId="18" fillId="3" borderId="2" xfId="12" applyNumberFormat="1" applyFont="1" applyFill="1" applyBorder="1"/>
    <xf numFmtId="167" fontId="18" fillId="0" borderId="2" xfId="12" applyNumberFormat="1" applyFont="1" applyBorder="1" applyAlignment="1">
      <alignment horizontal="center"/>
    </xf>
    <xf numFmtId="165" fontId="15" fillId="3" borderId="2" xfId="12" applyNumberFormat="1" applyFont="1" applyFill="1" applyBorder="1"/>
    <xf numFmtId="0" fontId="15" fillId="0" borderId="0" xfId="3" applyFont="1" applyAlignment="1">
      <alignment horizontal="left"/>
    </xf>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0" fontId="15" fillId="0" borderId="18" xfId="3" applyFont="1" applyBorder="1" applyAlignment="1">
      <alignment horizontal="center"/>
    </xf>
    <xf numFmtId="0" fontId="15" fillId="0" borderId="9" xfId="3" applyFont="1" applyBorder="1" applyAlignment="1">
      <alignment horizontal="left"/>
    </xf>
    <xf numFmtId="165" fontId="15" fillId="3" borderId="0" xfId="12" applyNumberFormat="1" applyFont="1" applyFill="1" applyBorder="1"/>
    <xf numFmtId="0" fontId="15" fillId="0" borderId="0" xfId="3" applyFont="1" applyAlignment="1">
      <alignment horizontal="center"/>
    </xf>
    <xf numFmtId="0" fontId="15" fillId="0" borderId="0" xfId="3" applyFont="1"/>
    <xf numFmtId="38" fontId="15" fillId="0" borderId="0" xfId="3" applyNumberFormat="1" applyFont="1"/>
    <xf numFmtId="0" fontId="18" fillId="0" borderId="7" xfId="3" applyNumberFormat="1" applyFont="1" applyBorder="1" applyAlignment="1" applyProtection="1">
      <alignment horizontal="left"/>
      <protection locked="0"/>
    </xf>
    <xf numFmtId="0" fontId="15" fillId="0" borderId="0" xfId="3" applyFont="1" applyAlignment="1">
      <alignment horizontal="left"/>
    </xf>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0" fontId="15" fillId="0" borderId="18" xfId="3" applyFont="1" applyBorder="1" applyAlignment="1">
      <alignment horizontal="center"/>
    </xf>
    <xf numFmtId="0" fontId="15" fillId="0" borderId="9" xfId="3" applyFont="1" applyBorder="1" applyAlignment="1">
      <alignment horizontal="left"/>
    </xf>
    <xf numFmtId="38" fontId="18" fillId="0" borderId="0" xfId="15" applyNumberFormat="1" applyFont="1" applyBorder="1" applyAlignment="1" applyProtection="1">
      <alignment horizontal="center"/>
      <protection locked="0"/>
    </xf>
    <xf numFmtId="38" fontId="18" fillId="0" borderId="3" xfId="15" applyNumberFormat="1" applyFont="1" applyBorder="1" applyAlignment="1" applyProtection="1">
      <alignment horizontal="center"/>
      <protection locked="0"/>
    </xf>
    <xf numFmtId="38" fontId="18" fillId="3" borderId="3" xfId="15" applyNumberFormat="1" applyFont="1" applyFill="1" applyBorder="1" applyAlignment="1" applyProtection="1">
      <alignment horizontal="center"/>
      <protection locked="0"/>
    </xf>
    <xf numFmtId="0" fontId="15" fillId="0" borderId="0" xfId="3" applyFont="1" applyAlignment="1">
      <alignment horizontal="center"/>
    </xf>
    <xf numFmtId="0" fontId="15" fillId="0" borderId="0" xfId="3" applyFont="1"/>
    <xf numFmtId="0" fontId="18" fillId="0" borderId="7" xfId="3" applyNumberFormat="1" applyFont="1" applyBorder="1" applyAlignment="1" applyProtection="1">
      <alignment horizontal="left"/>
      <protection locked="0"/>
    </xf>
    <xf numFmtId="0" fontId="18" fillId="0" borderId="11" xfId="3" applyNumberFormat="1" applyFont="1" applyBorder="1" applyAlignment="1" applyProtection="1">
      <alignment horizontal="left"/>
      <protection locked="0"/>
    </xf>
    <xf numFmtId="0" fontId="15" fillId="0" borderId="0" xfId="3" applyFont="1" applyAlignment="1">
      <alignment horizontal="left"/>
    </xf>
    <xf numFmtId="0" fontId="15" fillId="3" borderId="18" xfId="3" applyFont="1" applyFill="1" applyBorder="1" applyAlignment="1">
      <alignment horizontal="center"/>
    </xf>
    <xf numFmtId="0" fontId="15" fillId="0" borderId="9" xfId="3" applyFont="1" applyBorder="1" applyAlignment="1">
      <alignment horizontal="left"/>
    </xf>
    <xf numFmtId="38" fontId="18" fillId="3" borderId="0" xfId="15" applyNumberFormat="1" applyFont="1" applyFill="1" applyBorder="1" applyAlignment="1" applyProtection="1">
      <alignment horizontal="center"/>
      <protection locked="0"/>
    </xf>
    <xf numFmtId="0" fontId="15" fillId="0" borderId="7" xfId="3" applyNumberFormat="1" applyFont="1" applyBorder="1" applyAlignment="1" applyProtection="1">
      <alignment horizontal="left"/>
      <protection locked="0"/>
    </xf>
    <xf numFmtId="38" fontId="18" fillId="0" borderId="35" xfId="15" applyNumberFormat="1" applyFont="1" applyBorder="1" applyAlignment="1">
      <alignment horizontal="center"/>
    </xf>
    <xf numFmtId="38" fontId="18" fillId="0" borderId="1" xfId="15" applyNumberFormat="1" applyFont="1" applyBorder="1" applyAlignment="1" applyProtection="1">
      <alignment horizontal="center"/>
      <protection locked="0"/>
    </xf>
    <xf numFmtId="38" fontId="18" fillId="3" borderId="5" xfId="15" applyNumberFormat="1" applyFont="1" applyFill="1" applyBorder="1" applyAlignment="1">
      <alignment horizontal="center"/>
    </xf>
    <xf numFmtId="38" fontId="18" fillId="0" borderId="16" xfId="15" applyNumberFormat="1" applyFont="1" applyBorder="1" applyAlignment="1" applyProtection="1">
      <alignment horizontal="center"/>
      <protection locked="0"/>
    </xf>
    <xf numFmtId="0" fontId="18" fillId="7" borderId="11" xfId="3" applyNumberFormat="1" applyFont="1" applyFill="1" applyBorder="1" applyAlignment="1" applyProtection="1">
      <alignment horizontal="left"/>
      <protection locked="0"/>
    </xf>
    <xf numFmtId="0" fontId="15" fillId="0" borderId="0" xfId="3" applyFont="1" applyAlignment="1">
      <alignment horizontal="center"/>
    </xf>
    <xf numFmtId="0" fontId="15" fillId="0" borderId="0" xfId="3" applyFont="1"/>
    <xf numFmtId="38" fontId="15" fillId="0" borderId="0" xfId="3" applyNumberFormat="1" applyFont="1"/>
    <xf numFmtId="0" fontId="15" fillId="0" borderId="0" xfId="3" applyFont="1" applyBorder="1"/>
    <xf numFmtId="38" fontId="15" fillId="0" borderId="13" xfId="3" applyNumberFormat="1" applyFont="1" applyBorder="1" applyAlignment="1" applyProtection="1">
      <alignment horizontal="center" wrapText="1"/>
      <protection locked="0"/>
    </xf>
    <xf numFmtId="0" fontId="15" fillId="0" borderId="0" xfId="3" applyFont="1" applyAlignment="1">
      <alignment horizontal="center"/>
    </xf>
    <xf numFmtId="0" fontId="15" fillId="0" borderId="0" xfId="3" applyFont="1"/>
    <xf numFmtId="0" fontId="18" fillId="0" borderId="7" xfId="3" applyNumberFormat="1" applyFont="1" applyBorder="1" applyAlignment="1" applyProtection="1">
      <alignment horizontal="left"/>
      <protection locked="0"/>
    </xf>
    <xf numFmtId="0" fontId="15" fillId="0" borderId="13" xfId="3" applyNumberFormat="1" applyFont="1" applyBorder="1" applyAlignment="1" applyProtection="1">
      <alignment horizontal="center"/>
      <protection locked="0"/>
    </xf>
    <xf numFmtId="0" fontId="15" fillId="3" borderId="18" xfId="3" applyFont="1" applyFill="1" applyBorder="1" applyAlignment="1">
      <alignment horizontal="center"/>
    </xf>
    <xf numFmtId="0" fontId="15" fillId="0" borderId="18" xfId="3" applyNumberFormat="1" applyFont="1" applyBorder="1" applyAlignment="1" applyProtection="1">
      <alignment horizontal="center"/>
      <protection locked="0"/>
    </xf>
    <xf numFmtId="38" fontId="15" fillId="0" borderId="18" xfId="3" applyNumberFormat="1" applyFont="1" applyBorder="1" applyAlignment="1" applyProtection="1">
      <alignment horizontal="center"/>
      <protection locked="0"/>
    </xf>
    <xf numFmtId="0" fontId="15" fillId="0" borderId="18" xfId="3" applyFont="1" applyBorder="1" applyAlignment="1">
      <alignment horizontal="center"/>
    </xf>
    <xf numFmtId="0" fontId="18" fillId="0" borderId="0" xfId="3" applyNumberFormat="1" applyFont="1" applyFill="1" applyBorder="1" applyAlignment="1" applyProtection="1">
      <alignment horizontal="left"/>
      <protection locked="0"/>
    </xf>
    <xf numFmtId="0" fontId="15" fillId="0" borderId="0" xfId="3" applyFont="1" applyFill="1"/>
    <xf numFmtId="0" fontId="15" fillId="0" borderId="7" xfId="3" applyNumberFormat="1" applyFont="1" applyBorder="1" applyAlignment="1" applyProtection="1">
      <alignment horizontal="left"/>
      <protection locked="0"/>
    </xf>
    <xf numFmtId="0" fontId="15" fillId="0" borderId="0" xfId="3" applyFont="1" applyAlignment="1">
      <alignment horizontal="center"/>
    </xf>
    <xf numFmtId="0" fontId="15" fillId="7" borderId="7" xfId="3" applyNumberFormat="1" applyFont="1" applyFill="1" applyBorder="1" applyAlignment="1" applyProtection="1">
      <alignment horizontal="left"/>
      <protection locked="0"/>
    </xf>
    <xf numFmtId="0" fontId="15" fillId="7" borderId="9" xfId="3" applyNumberFormat="1" applyFont="1" applyFill="1" applyBorder="1" applyAlignment="1" applyProtection="1">
      <alignment horizontal="left"/>
      <protection locked="0"/>
    </xf>
    <xf numFmtId="164" fontId="15" fillId="0" borderId="3" xfId="1" applyNumberFormat="1" applyFont="1" applyBorder="1"/>
    <xf numFmtId="164" fontId="15" fillId="0" borderId="12" xfId="1" applyNumberFormat="1" applyFont="1" applyBorder="1"/>
    <xf numFmtId="164" fontId="18" fillId="0" borderId="15" xfId="1" applyNumberFormat="1" applyFont="1" applyBorder="1" applyProtection="1">
      <protection locked="0"/>
    </xf>
    <xf numFmtId="164" fontId="18" fillId="0" borderId="2" xfId="1" applyNumberFormat="1" applyFont="1" applyBorder="1"/>
    <xf numFmtId="164" fontId="18" fillId="0" borderId="10" xfId="1" applyNumberFormat="1" applyFont="1" applyBorder="1"/>
    <xf numFmtId="166" fontId="15" fillId="0" borderId="7" xfId="8" applyNumberFormat="1" applyFont="1" applyBorder="1"/>
    <xf numFmtId="166" fontId="15" fillId="0" borderId="0" xfId="8" applyNumberFormat="1" applyFont="1" applyBorder="1"/>
    <xf numFmtId="166" fontId="15" fillId="0" borderId="8" xfId="8" applyNumberFormat="1" applyFont="1" applyBorder="1"/>
    <xf numFmtId="166" fontId="18" fillId="0" borderId="7" xfId="8" applyNumberFormat="1" applyFont="1" applyBorder="1" applyProtection="1">
      <protection locked="0"/>
    </xf>
    <xf numFmtId="166" fontId="18" fillId="0" borderId="8" xfId="8" applyNumberFormat="1" applyFont="1" applyBorder="1" applyProtection="1">
      <protection locked="0"/>
    </xf>
    <xf numFmtId="166" fontId="18" fillId="0" borderId="11" xfId="8" applyNumberFormat="1" applyFont="1" applyBorder="1" applyProtection="1">
      <protection locked="0"/>
    </xf>
    <xf numFmtId="166" fontId="18" fillId="3" borderId="3" xfId="8" applyNumberFormat="1" applyFont="1" applyFill="1" applyBorder="1" applyProtection="1">
      <protection locked="0"/>
    </xf>
    <xf numFmtId="166" fontId="18" fillId="0" borderId="3" xfId="8" applyNumberFormat="1" applyFont="1" applyBorder="1" applyProtection="1">
      <protection locked="0"/>
    </xf>
    <xf numFmtId="166" fontId="18" fillId="0" borderId="12" xfId="8" applyNumberFormat="1" applyFont="1" applyBorder="1" applyProtection="1">
      <protection locked="0"/>
    </xf>
    <xf numFmtId="166" fontId="15" fillId="0" borderId="7" xfId="8" applyNumberFormat="1" applyFont="1" applyBorder="1" applyProtection="1">
      <protection locked="0"/>
    </xf>
    <xf numFmtId="166" fontId="15" fillId="0" borderId="8" xfId="8" applyNumberFormat="1" applyFont="1" applyBorder="1" applyProtection="1">
      <protection locked="0"/>
    </xf>
    <xf numFmtId="166" fontId="18" fillId="0" borderId="9" xfId="8" applyNumberFormat="1" applyFont="1" applyBorder="1" applyProtection="1">
      <protection locked="0"/>
    </xf>
    <xf numFmtId="166" fontId="18" fillId="0" borderId="10" xfId="8" applyNumberFormat="1" applyFont="1" applyBorder="1" applyProtection="1">
      <protection locked="0"/>
    </xf>
    <xf numFmtId="166" fontId="15" fillId="7" borderId="7" xfId="8" applyNumberFormat="1" applyFont="1" applyFill="1" applyBorder="1" applyProtection="1">
      <protection locked="0"/>
    </xf>
    <xf numFmtId="166" fontId="18" fillId="7" borderId="7" xfId="8" applyNumberFormat="1" applyFont="1" applyFill="1" applyBorder="1" applyProtection="1">
      <protection locked="0"/>
    </xf>
    <xf numFmtId="166" fontId="18" fillId="7" borderId="11" xfId="8" applyNumberFormat="1" applyFont="1" applyFill="1" applyBorder="1" applyProtection="1">
      <protection locked="0"/>
    </xf>
    <xf numFmtId="164" fontId="18" fillId="0" borderId="16" xfId="1" applyNumberFormat="1" applyFont="1" applyBorder="1"/>
    <xf numFmtId="164" fontId="18" fillId="0" borderId="14" xfId="1" applyNumberFormat="1" applyFont="1" applyBorder="1"/>
    <xf numFmtId="164" fontId="18" fillId="0" borderId="14" xfId="1" applyNumberFormat="1" applyFont="1" applyBorder="1" applyProtection="1">
      <protection locked="0"/>
    </xf>
    <xf numFmtId="164" fontId="18" fillId="0" borderId="1" xfId="1" applyNumberFormat="1" applyFont="1" applyBorder="1" applyAlignment="1">
      <alignment horizontal="center"/>
    </xf>
    <xf numFmtId="164" fontId="18" fillId="3" borderId="0" xfId="1" applyNumberFormat="1" applyFont="1" applyFill="1" applyBorder="1" applyAlignment="1">
      <alignment horizontal="center"/>
    </xf>
    <xf numFmtId="164" fontId="18" fillId="0" borderId="16" xfId="1" applyNumberFormat="1" applyFont="1" applyBorder="1" applyAlignment="1">
      <alignment horizontal="center"/>
    </xf>
    <xf numFmtId="38" fontId="15" fillId="3" borderId="6" xfId="3" applyNumberFormat="1" applyFont="1" applyFill="1" applyBorder="1" applyAlignment="1">
      <alignment horizontal="center"/>
    </xf>
    <xf numFmtId="38" fontId="15" fillId="3" borderId="8" xfId="9" applyNumberFormat="1" applyFont="1" applyFill="1" applyBorder="1"/>
    <xf numFmtId="38" fontId="30" fillId="3" borderId="8" xfId="9" applyNumberFormat="1" applyFont="1" applyFill="1" applyBorder="1"/>
    <xf numFmtId="38" fontId="15" fillId="3" borderId="8" xfId="1" applyNumberFormat="1" applyFont="1" applyFill="1" applyBorder="1"/>
    <xf numFmtId="38" fontId="30" fillId="3" borderId="10" xfId="9" applyNumberFormat="1" applyFont="1" applyFill="1" applyBorder="1"/>
    <xf numFmtId="38" fontId="15" fillId="0" borderId="0" xfId="3" applyNumberFormat="1" applyFont="1" applyBorder="1" applyAlignment="1">
      <alignment horizontal="center"/>
    </xf>
    <xf numFmtId="38" fontId="15" fillId="6" borderId="0" xfId="9" applyNumberFormat="1" applyFont="1" applyFill="1" applyBorder="1" applyAlignment="1">
      <alignment horizontal="center"/>
    </xf>
    <xf numFmtId="38" fontId="15" fillId="3" borderId="0" xfId="9" applyNumberFormat="1" applyFont="1" applyFill="1" applyBorder="1" applyAlignment="1">
      <alignment horizontal="center"/>
    </xf>
    <xf numFmtId="38" fontId="18" fillId="6" borderId="0" xfId="9" applyNumberFormat="1" applyFont="1" applyFill="1" applyBorder="1" applyAlignment="1">
      <alignment horizontal="center"/>
    </xf>
    <xf numFmtId="38" fontId="18" fillId="0" borderId="1" xfId="9" applyNumberFormat="1" applyFont="1" applyFill="1" applyBorder="1" applyAlignment="1">
      <alignment horizontal="center"/>
    </xf>
    <xf numFmtId="38" fontId="18" fillId="3" borderId="0" xfId="9" applyNumberFormat="1" applyFont="1" applyFill="1" applyBorder="1" applyAlignment="1">
      <alignment horizontal="center"/>
    </xf>
    <xf numFmtId="38" fontId="18" fillId="6" borderId="0" xfId="1" applyNumberFormat="1" applyFont="1" applyFill="1" applyBorder="1" applyAlignment="1">
      <alignment horizontal="center"/>
    </xf>
    <xf numFmtId="38" fontId="18" fillId="0" borderId="1" xfId="1" applyNumberFormat="1" applyFont="1" applyFill="1" applyBorder="1" applyAlignment="1">
      <alignment horizontal="center"/>
    </xf>
    <xf numFmtId="38" fontId="18" fillId="3" borderId="0" xfId="1" applyNumberFormat="1" applyFont="1" applyFill="1" applyBorder="1" applyAlignment="1">
      <alignment horizontal="center"/>
    </xf>
    <xf numFmtId="38" fontId="18" fillId="0" borderId="1" xfId="1" applyNumberFormat="1" applyFont="1" applyBorder="1" applyAlignment="1">
      <alignment horizontal="center"/>
    </xf>
    <xf numFmtId="38" fontId="18" fillId="6" borderId="0" xfId="12" applyNumberFormat="1" applyFont="1" applyFill="1" applyBorder="1" applyAlignment="1">
      <alignment horizontal="center"/>
    </xf>
    <xf numFmtId="38" fontId="18" fillId="0" borderId="1" xfId="12" applyNumberFormat="1" applyFont="1" applyFill="1" applyBorder="1" applyAlignment="1">
      <alignment horizontal="center"/>
    </xf>
    <xf numFmtId="38" fontId="18" fillId="3" borderId="0" xfId="12" applyNumberFormat="1" applyFont="1" applyFill="1" applyBorder="1" applyAlignment="1">
      <alignment horizontal="center"/>
    </xf>
    <xf numFmtId="38" fontId="15" fillId="0" borderId="0" xfId="3" applyNumberFormat="1" applyFont="1" applyFill="1" applyAlignment="1">
      <alignment horizontal="center"/>
    </xf>
    <xf numFmtId="164" fontId="18" fillId="0" borderId="1" xfId="20" applyNumberFormat="1" applyFont="1" applyBorder="1" applyAlignment="1" applyProtection="1">
      <alignment horizontal="center"/>
      <protection locked="0"/>
    </xf>
    <xf numFmtId="164" fontId="18" fillId="3" borderId="0" xfId="20" applyNumberFormat="1" applyFont="1" applyFill="1" applyBorder="1" applyAlignment="1" applyProtection="1">
      <alignment horizontal="center"/>
      <protection locked="0"/>
    </xf>
    <xf numFmtId="164" fontId="18" fillId="0" borderId="0" xfId="20" applyNumberFormat="1" applyFont="1" applyBorder="1" applyAlignment="1" applyProtection="1">
      <alignment horizontal="center"/>
      <protection locked="0"/>
    </xf>
    <xf numFmtId="164" fontId="18" fillId="0" borderId="16" xfId="20" applyNumberFormat="1" applyFont="1" applyBorder="1" applyAlignment="1" applyProtection="1">
      <alignment horizontal="center"/>
      <protection locked="0"/>
    </xf>
    <xf numFmtId="164" fontId="18" fillId="3" borderId="3" xfId="20" applyNumberFormat="1" applyFont="1" applyFill="1" applyBorder="1" applyAlignment="1" applyProtection="1">
      <alignment horizontal="center"/>
      <protection locked="0"/>
    </xf>
    <xf numFmtId="164" fontId="18" fillId="0" borderId="3" xfId="20" applyNumberFormat="1" applyFont="1" applyBorder="1" applyAlignment="1" applyProtection="1">
      <alignment horizontal="center"/>
      <protection locked="0"/>
    </xf>
    <xf numFmtId="164" fontId="18" fillId="0" borderId="27" xfId="20" applyNumberFormat="1" applyFont="1" applyBorder="1" applyAlignment="1" applyProtection="1">
      <alignment horizontal="center"/>
      <protection locked="0"/>
    </xf>
    <xf numFmtId="164" fontId="18" fillId="0" borderId="29" xfId="20" applyNumberFormat="1" applyFont="1" applyBorder="1" applyAlignment="1" applyProtection="1">
      <alignment horizontal="center"/>
      <protection locked="0"/>
    </xf>
    <xf numFmtId="164" fontId="18" fillId="8" borderId="0" xfId="1" applyNumberFormat="1" applyFont="1" applyFill="1" applyBorder="1" applyAlignment="1" applyProtection="1">
      <alignment horizontal="center"/>
      <protection locked="0"/>
    </xf>
    <xf numFmtId="164" fontId="18" fillId="8" borderId="3" xfId="1" applyNumberFormat="1" applyFont="1" applyFill="1" applyBorder="1" applyAlignment="1" applyProtection="1">
      <alignment horizontal="center"/>
      <protection locked="0"/>
    </xf>
    <xf numFmtId="0" fontId="18" fillId="0" borderId="0" xfId="3" applyFont="1" applyAlignment="1">
      <alignment horizontal="center"/>
    </xf>
    <xf numFmtId="0" fontId="18" fillId="0" borderId="0" xfId="3" applyFont="1" applyFill="1"/>
    <xf numFmtId="0" fontId="32" fillId="0" borderId="0" xfId="3" applyFont="1" applyAlignment="1">
      <alignment horizontal="left"/>
    </xf>
    <xf numFmtId="0" fontId="15" fillId="0" borderId="21" xfId="3" applyFont="1" applyBorder="1" applyAlignment="1">
      <alignment horizontal="center"/>
    </xf>
    <xf numFmtId="165" fontId="18" fillId="0" borderId="0" xfId="2" applyNumberFormat="1" applyFont="1"/>
    <xf numFmtId="164" fontId="15" fillId="0" borderId="0" xfId="1" applyNumberFormat="1" applyFont="1"/>
    <xf numFmtId="164" fontId="15" fillId="0" borderId="0" xfId="1" applyNumberFormat="1" applyFont="1" applyAlignment="1">
      <alignment horizontal="center"/>
    </xf>
    <xf numFmtId="164" fontId="15" fillId="0" borderId="0" xfId="1" applyNumberFormat="1" applyFont="1" applyAlignment="1">
      <alignment horizontal="center" wrapText="1"/>
    </xf>
    <xf numFmtId="38" fontId="15" fillId="0" borderId="0" xfId="3" applyNumberFormat="1" applyFont="1" applyBorder="1"/>
    <xf numFmtId="0" fontId="15" fillId="10" borderId="21" xfId="3" applyFont="1" applyFill="1" applyBorder="1" applyAlignment="1">
      <alignment horizontal="center"/>
    </xf>
    <xf numFmtId="0" fontId="15" fillId="0" borderId="21" xfId="3" applyFont="1" applyFill="1" applyBorder="1" applyAlignment="1">
      <alignment horizontal="center"/>
    </xf>
    <xf numFmtId="0" fontId="18" fillId="0" borderId="21" xfId="3" applyFont="1" applyBorder="1" applyAlignment="1">
      <alignment horizontal="center"/>
    </xf>
    <xf numFmtId="0" fontId="15" fillId="10" borderId="22" xfId="3" applyFont="1" applyFill="1" applyBorder="1" applyAlignment="1">
      <alignment horizontal="center"/>
    </xf>
    <xf numFmtId="0" fontId="15" fillId="0" borderId="0" xfId="3" applyFont="1" applyFill="1" applyAlignment="1">
      <alignment horizontal="center"/>
    </xf>
    <xf numFmtId="166" fontId="30" fillId="5" borderId="1" xfId="8" applyNumberFormat="1" applyFont="1" applyFill="1" applyBorder="1"/>
    <xf numFmtId="166" fontId="30" fillId="5" borderId="24" xfId="8" applyNumberFormat="1" applyFont="1" applyFill="1" applyBorder="1"/>
    <xf numFmtId="166" fontId="30" fillId="5" borderId="7" xfId="8" applyNumberFormat="1" applyFont="1" applyFill="1" applyBorder="1"/>
    <xf numFmtId="166" fontId="30" fillId="5" borderId="9" xfId="8" applyNumberFormat="1" applyFont="1" applyFill="1" applyBorder="1"/>
    <xf numFmtId="166" fontId="30" fillId="5" borderId="15" xfId="8" applyNumberFormat="1" applyFont="1" applyFill="1" applyBorder="1"/>
    <xf numFmtId="166" fontId="30" fillId="5" borderId="25" xfId="8" applyNumberFormat="1" applyFont="1" applyFill="1" applyBorder="1"/>
    <xf numFmtId="164" fontId="15" fillId="0" borderId="0" xfId="3" applyNumberFormat="1" applyFont="1"/>
    <xf numFmtId="165" fontId="15" fillId="0" borderId="0" xfId="2" applyNumberFormat="1" applyFont="1"/>
    <xf numFmtId="0" fontId="33" fillId="0" borderId="0" xfId="0" applyFont="1"/>
    <xf numFmtId="171" fontId="34" fillId="0" borderId="0" xfId="0" applyNumberFormat="1" applyFont="1"/>
    <xf numFmtId="166" fontId="34" fillId="0" borderId="0" xfId="8" applyNumberFormat="1" applyFont="1"/>
    <xf numFmtId="6" fontId="34" fillId="0" borderId="0" xfId="0" applyNumberFormat="1" applyFont="1"/>
    <xf numFmtId="0" fontId="34" fillId="0" borderId="0" xfId="0" applyFont="1"/>
    <xf numFmtId="6" fontId="34" fillId="0" borderId="0" xfId="0" applyNumberFormat="1" applyFont="1" applyAlignment="1">
      <alignment horizontal="center"/>
    </xf>
    <xf numFmtId="166" fontId="34" fillId="0" borderId="0" xfId="8" applyNumberFormat="1" applyFont="1" applyAlignment="1">
      <alignment horizontal="center"/>
    </xf>
    <xf numFmtId="0" fontId="33" fillId="0" borderId="17" xfId="0" applyFont="1" applyBorder="1"/>
    <xf numFmtId="171" fontId="33" fillId="0" borderId="18" xfId="0" applyNumberFormat="1" applyFont="1" applyBorder="1" applyAlignment="1">
      <alignment horizontal="center"/>
    </xf>
    <xf numFmtId="6" fontId="33" fillId="0" borderId="18" xfId="0" applyNumberFormat="1" applyFont="1" applyBorder="1" applyAlignment="1">
      <alignment horizontal="center"/>
    </xf>
    <xf numFmtId="0" fontId="34" fillId="0" borderId="5" xfId="0" applyFont="1" applyBorder="1"/>
    <xf numFmtId="0" fontId="34" fillId="0" borderId="6" xfId="0" applyFont="1" applyBorder="1"/>
    <xf numFmtId="0" fontId="34" fillId="0" borderId="0" xfId="0" applyFont="1" applyBorder="1"/>
    <xf numFmtId="0" fontId="34" fillId="0" borderId="8" xfId="0" applyFont="1" applyBorder="1"/>
    <xf numFmtId="6" fontId="34" fillId="0" borderId="47" xfId="0" applyNumberFormat="1" applyFont="1" applyBorder="1" applyAlignment="1">
      <alignment horizontal="center"/>
    </xf>
    <xf numFmtId="166" fontId="34" fillId="0" borderId="50" xfId="8" applyNumberFormat="1" applyFont="1" applyBorder="1" applyAlignment="1">
      <alignment horizontal="center"/>
    </xf>
    <xf numFmtId="6" fontId="34" fillId="0" borderId="63" xfId="0" applyNumberFormat="1" applyFont="1" applyBorder="1" applyAlignment="1">
      <alignment horizontal="center"/>
    </xf>
    <xf numFmtId="166" fontId="34" fillId="0" borderId="65" xfId="8" applyNumberFormat="1" applyFont="1" applyBorder="1" applyAlignment="1">
      <alignment horizontal="center"/>
    </xf>
    <xf numFmtId="6" fontId="34" fillId="0" borderId="66" xfId="0" applyNumberFormat="1" applyFont="1" applyBorder="1" applyAlignment="1">
      <alignment horizontal="center"/>
    </xf>
    <xf numFmtId="166" fontId="34" fillId="0" borderId="68" xfId="8" applyNumberFormat="1" applyFont="1" applyBorder="1" applyAlignment="1">
      <alignment horizontal="center"/>
    </xf>
    <xf numFmtId="0" fontId="33" fillId="0" borderId="0" xfId="0" applyFont="1" applyBorder="1"/>
    <xf numFmtId="6" fontId="33" fillId="0" borderId="47" xfId="0" applyNumberFormat="1" applyFont="1" applyBorder="1" applyAlignment="1">
      <alignment horizontal="center"/>
    </xf>
    <xf numFmtId="166" fontId="33" fillId="0" borderId="50" xfId="8" applyNumberFormat="1" applyFont="1" applyBorder="1" applyAlignment="1">
      <alignment horizontal="center"/>
    </xf>
    <xf numFmtId="166" fontId="33" fillId="0" borderId="71" xfId="8" applyNumberFormat="1" applyFont="1" applyBorder="1" applyAlignment="1">
      <alignment horizontal="center"/>
    </xf>
    <xf numFmtId="6" fontId="33" fillId="0" borderId="28" xfId="0" applyNumberFormat="1" applyFont="1" applyBorder="1" applyAlignment="1">
      <alignment horizontal="center"/>
    </xf>
    <xf numFmtId="166" fontId="33" fillId="0" borderId="25" xfId="8" applyNumberFormat="1" applyFont="1" applyBorder="1" applyAlignment="1">
      <alignment horizontal="center"/>
    </xf>
    <xf numFmtId="171" fontId="33" fillId="0" borderId="0" xfId="0" applyNumberFormat="1" applyFont="1" applyAlignment="1">
      <alignment horizontal="right"/>
    </xf>
    <xf numFmtId="171" fontId="34" fillId="0" borderId="0" xfId="0" applyNumberFormat="1" applyFont="1" applyBorder="1"/>
    <xf numFmtId="166" fontId="34" fillId="0" borderId="8" xfId="8" applyNumberFormat="1" applyFont="1" applyBorder="1"/>
    <xf numFmtId="166" fontId="34" fillId="0" borderId="8" xfId="8" applyNumberFormat="1" applyFont="1" applyBorder="1" applyAlignment="1">
      <alignment horizontal="center"/>
    </xf>
    <xf numFmtId="0" fontId="34" fillId="0" borderId="2" xfId="0" applyFont="1" applyBorder="1"/>
    <xf numFmtId="0" fontId="33" fillId="0" borderId="73" xfId="0" applyFont="1" applyBorder="1"/>
    <xf numFmtId="171" fontId="33" fillId="0" borderId="74" xfId="0" applyNumberFormat="1" applyFont="1" applyBorder="1" applyAlignment="1">
      <alignment horizontal="center"/>
    </xf>
    <xf numFmtId="6" fontId="33" fillId="0" borderId="74" xfId="0" applyNumberFormat="1" applyFont="1" applyBorder="1" applyAlignment="1">
      <alignment horizontal="center"/>
    </xf>
    <xf numFmtId="0" fontId="34" fillId="0" borderId="0" xfId="0" applyFont="1" applyAlignment="1">
      <alignment horizontal="center"/>
    </xf>
    <xf numFmtId="166" fontId="34" fillId="0" borderId="62" xfId="8" applyNumberFormat="1" applyFont="1" applyBorder="1" applyAlignment="1">
      <alignment horizontal="center"/>
    </xf>
    <xf numFmtId="166" fontId="33" fillId="0" borderId="72" xfId="8" applyNumberFormat="1" applyFont="1" applyBorder="1" applyAlignment="1">
      <alignment horizontal="center"/>
    </xf>
    <xf numFmtId="166" fontId="33" fillId="0" borderId="10" xfId="8" applyNumberFormat="1" applyFont="1" applyBorder="1" applyAlignment="1">
      <alignment horizontal="center"/>
    </xf>
    <xf numFmtId="0" fontId="35" fillId="0" borderId="0" xfId="0" applyFont="1"/>
    <xf numFmtId="0" fontId="33" fillId="2" borderId="0" xfId="0" applyFont="1" applyFill="1"/>
    <xf numFmtId="0" fontId="36" fillId="0" borderId="0" xfId="0" applyFont="1"/>
    <xf numFmtId="164" fontId="34" fillId="0" borderId="0" xfId="1" applyNumberFormat="1" applyFont="1" applyBorder="1" applyAlignment="1">
      <alignment horizontal="center"/>
    </xf>
    <xf numFmtId="164" fontId="34" fillId="0" borderId="0" xfId="1" applyNumberFormat="1" applyFont="1" applyAlignment="1">
      <alignment horizontal="center"/>
    </xf>
    <xf numFmtId="171" fontId="33" fillId="0" borderId="0" xfId="0" applyNumberFormat="1" applyFont="1" applyAlignment="1">
      <alignment horizontal="center"/>
    </xf>
    <xf numFmtId="0" fontId="37" fillId="0" borderId="0" xfId="0" applyFont="1"/>
    <xf numFmtId="0" fontId="35" fillId="0" borderId="0" xfId="0" applyFont="1" applyAlignment="1">
      <alignment wrapText="1"/>
    </xf>
    <xf numFmtId="0" fontId="35" fillId="9" borderId="51" xfId="0" applyFont="1" applyFill="1" applyBorder="1" applyAlignment="1">
      <alignment horizontal="center" wrapText="1"/>
    </xf>
    <xf numFmtId="171" fontId="35" fillId="14" borderId="51" xfId="0" applyNumberFormat="1" applyFont="1" applyFill="1" applyBorder="1" applyAlignment="1">
      <alignment horizontal="center" wrapText="1"/>
    </xf>
    <xf numFmtId="0" fontId="38" fillId="0" borderId="0" xfId="0" applyFont="1"/>
    <xf numFmtId="164" fontId="38" fillId="12" borderId="45" xfId="1" applyNumberFormat="1" applyFont="1" applyFill="1" applyBorder="1" applyAlignment="1">
      <alignment horizontal="center"/>
    </xf>
    <xf numFmtId="164" fontId="38" fillId="12" borderId="35" xfId="1" applyNumberFormat="1" applyFont="1" applyFill="1" applyBorder="1" applyAlignment="1">
      <alignment horizontal="center"/>
    </xf>
    <xf numFmtId="164" fontId="38" fillId="12" borderId="39" xfId="1" applyNumberFormat="1" applyFont="1" applyFill="1" applyBorder="1" applyAlignment="1">
      <alignment horizontal="center"/>
    </xf>
    <xf numFmtId="164" fontId="38" fillId="12" borderId="49" xfId="1" applyNumberFormat="1" applyFont="1" applyFill="1" applyBorder="1" applyAlignment="1">
      <alignment horizontal="center"/>
    </xf>
    <xf numFmtId="164" fontId="38" fillId="11" borderId="45" xfId="1" applyNumberFormat="1" applyFont="1" applyFill="1" applyBorder="1" applyAlignment="1">
      <alignment horizontal="center"/>
    </xf>
    <xf numFmtId="164" fontId="38" fillId="11" borderId="39" xfId="1" applyNumberFormat="1" applyFont="1" applyFill="1" applyBorder="1" applyAlignment="1">
      <alignment horizontal="center"/>
    </xf>
    <xf numFmtId="164" fontId="38" fillId="11" borderId="49" xfId="1" applyNumberFormat="1" applyFont="1" applyFill="1" applyBorder="1" applyAlignment="1">
      <alignment horizontal="center"/>
    </xf>
    <xf numFmtId="164" fontId="38" fillId="2" borderId="45" xfId="1" applyNumberFormat="1" applyFont="1" applyFill="1" applyBorder="1" applyAlignment="1">
      <alignment horizontal="center"/>
    </xf>
    <xf numFmtId="164" fontId="38" fillId="2" borderId="39" xfId="1" applyNumberFormat="1" applyFont="1" applyFill="1" applyBorder="1" applyAlignment="1">
      <alignment horizontal="center"/>
    </xf>
    <xf numFmtId="164" fontId="38" fillId="2" borderId="49" xfId="1" applyNumberFormat="1" applyFont="1" applyFill="1" applyBorder="1" applyAlignment="1">
      <alignment horizontal="center"/>
    </xf>
    <xf numFmtId="164" fontId="38" fillId="13" borderId="45" xfId="1" applyNumberFormat="1" applyFont="1" applyFill="1" applyBorder="1" applyAlignment="1">
      <alignment horizontal="center"/>
    </xf>
    <xf numFmtId="164" fontId="38" fillId="13" borderId="39" xfId="1" applyNumberFormat="1" applyFont="1" applyFill="1" applyBorder="1" applyAlignment="1">
      <alignment horizontal="center"/>
    </xf>
    <xf numFmtId="164" fontId="38" fillId="13" borderId="49" xfId="1" applyNumberFormat="1" applyFont="1" applyFill="1" applyBorder="1" applyAlignment="1">
      <alignment horizontal="center"/>
    </xf>
    <xf numFmtId="164" fontId="38" fillId="14" borderId="45" xfId="1" applyNumberFormat="1" applyFont="1" applyFill="1" applyBorder="1" applyAlignment="1">
      <alignment horizontal="center"/>
    </xf>
    <xf numFmtId="164" fontId="38" fillId="14" borderId="39" xfId="1" applyNumberFormat="1" applyFont="1" applyFill="1" applyBorder="1" applyAlignment="1">
      <alignment horizontal="center"/>
    </xf>
    <xf numFmtId="164" fontId="38" fillId="14" borderId="49" xfId="1" applyNumberFormat="1" applyFont="1" applyFill="1" applyBorder="1" applyAlignment="1">
      <alignment horizontal="center"/>
    </xf>
    <xf numFmtId="164" fontId="38" fillId="15" borderId="45" xfId="1" applyNumberFormat="1" applyFont="1" applyFill="1" applyBorder="1" applyAlignment="1">
      <alignment horizontal="center"/>
    </xf>
    <xf numFmtId="164" fontId="38" fillId="15" borderId="55" xfId="1" applyNumberFormat="1" applyFont="1" applyFill="1" applyBorder="1" applyAlignment="1">
      <alignment horizontal="center"/>
    </xf>
    <xf numFmtId="164" fontId="35" fillId="9" borderId="56" xfId="1" applyNumberFormat="1" applyFont="1" applyFill="1" applyBorder="1" applyAlignment="1">
      <alignment horizontal="center"/>
    </xf>
    <xf numFmtId="171" fontId="35" fillId="14" borderId="54" xfId="1" applyNumberFormat="1" applyFont="1" applyFill="1" applyBorder="1" applyAlignment="1">
      <alignment horizontal="center"/>
    </xf>
    <xf numFmtId="164" fontId="34" fillId="0" borderId="57" xfId="1" applyNumberFormat="1" applyFont="1" applyBorder="1" applyAlignment="1">
      <alignment horizontal="center"/>
    </xf>
    <xf numFmtId="164" fontId="34" fillId="0" borderId="14" xfId="1" applyNumberFormat="1" applyFont="1" applyBorder="1" applyAlignment="1">
      <alignment horizontal="center"/>
    </xf>
    <xf numFmtId="164" fontId="34" fillId="0" borderId="58" xfId="1" applyNumberFormat="1" applyFont="1" applyBorder="1" applyAlignment="1">
      <alignment horizontal="center"/>
    </xf>
    <xf numFmtId="164" fontId="34" fillId="0" borderId="6" xfId="1" applyNumberFormat="1" applyFont="1" applyBorder="1" applyAlignment="1">
      <alignment horizontal="center"/>
    </xf>
    <xf numFmtId="164" fontId="34" fillId="0" borderId="34" xfId="1" applyNumberFormat="1" applyFont="1" applyBorder="1" applyAlignment="1">
      <alignment horizontal="center"/>
    </xf>
    <xf numFmtId="0" fontId="34" fillId="0" borderId="4" xfId="0" applyFont="1" applyBorder="1" applyAlignment="1">
      <alignment horizontal="center"/>
    </xf>
    <xf numFmtId="0" fontId="34" fillId="0" borderId="34" xfId="0" applyFont="1" applyBorder="1" applyAlignment="1">
      <alignment horizontal="center"/>
    </xf>
    <xf numFmtId="0" fontId="34" fillId="0" borderId="36" xfId="0" applyFont="1" applyBorder="1" applyAlignment="1">
      <alignment horizontal="center"/>
    </xf>
    <xf numFmtId="171" fontId="33" fillId="14" borderId="21" xfId="0" applyNumberFormat="1" applyFont="1" applyFill="1" applyBorder="1" applyAlignment="1">
      <alignment horizontal="center"/>
    </xf>
    <xf numFmtId="0" fontId="34" fillId="0" borderId="0" xfId="0" applyFont="1" applyAlignment="1">
      <alignment horizontal="right"/>
    </xf>
    <xf numFmtId="164" fontId="34" fillId="0" borderId="46" xfId="1" applyNumberFormat="1" applyFont="1" applyBorder="1" applyAlignment="1">
      <alignment horizontal="center"/>
    </xf>
    <xf numFmtId="164" fontId="34" fillId="0" borderId="1" xfId="1" applyNumberFormat="1" applyFont="1" applyBorder="1" applyAlignment="1">
      <alignment horizontal="center"/>
    </xf>
    <xf numFmtId="164" fontId="34" fillId="0" borderId="40" xfId="1" applyNumberFormat="1" applyFont="1" applyBorder="1" applyAlignment="1">
      <alignment horizontal="center"/>
    </xf>
    <xf numFmtId="164" fontId="34" fillId="0" borderId="8" xfId="1" applyNumberFormat="1" applyFont="1" applyBorder="1" applyAlignment="1">
      <alignment horizontal="center"/>
    </xf>
    <xf numFmtId="164" fontId="34" fillId="0" borderId="24" xfId="1" applyNumberFormat="1" applyFont="1" applyBorder="1" applyAlignment="1">
      <alignment horizontal="center"/>
    </xf>
    <xf numFmtId="0" fontId="34" fillId="0" borderId="21" xfId="0" applyFont="1" applyBorder="1" applyAlignment="1">
      <alignment horizontal="center"/>
    </xf>
    <xf numFmtId="166" fontId="33" fillId="14" borderId="21" xfId="8" applyNumberFormat="1" applyFont="1" applyFill="1" applyBorder="1" applyAlignment="1">
      <alignment horizontal="center"/>
    </xf>
    <xf numFmtId="0" fontId="34" fillId="0" borderId="38" xfId="0" applyFont="1" applyBorder="1" applyAlignment="1">
      <alignment horizontal="right"/>
    </xf>
    <xf numFmtId="164" fontId="34" fillId="0" borderId="47" xfId="1" applyNumberFormat="1" applyFont="1" applyBorder="1" applyAlignment="1">
      <alignment horizontal="center"/>
    </xf>
    <xf numFmtId="164" fontId="34" fillId="0" borderId="37" xfId="1" applyNumberFormat="1" applyFont="1" applyBorder="1" applyAlignment="1">
      <alignment horizontal="center"/>
    </xf>
    <xf numFmtId="164" fontId="34" fillId="0" borderId="41" xfId="1" applyNumberFormat="1" applyFont="1" applyBorder="1" applyAlignment="1">
      <alignment horizontal="center"/>
    </xf>
    <xf numFmtId="164" fontId="34" fillId="0" borderId="48" xfId="1" applyNumberFormat="1" applyFont="1" applyBorder="1" applyAlignment="1">
      <alignment horizontal="center"/>
    </xf>
    <xf numFmtId="164" fontId="34" fillId="0" borderId="50" xfId="1" applyNumberFormat="1" applyFont="1" applyBorder="1" applyAlignment="1">
      <alignment horizontal="center"/>
    </xf>
    <xf numFmtId="171" fontId="34" fillId="0" borderId="47" xfId="1" applyNumberFormat="1" applyFont="1" applyBorder="1" applyAlignment="1">
      <alignment horizontal="center"/>
    </xf>
    <xf numFmtId="171" fontId="34" fillId="0" borderId="41" xfId="1" applyNumberFormat="1" applyFont="1" applyBorder="1" applyAlignment="1">
      <alignment horizontal="center"/>
    </xf>
    <xf numFmtId="171" fontId="34" fillId="0" borderId="50" xfId="1" applyNumberFormat="1" applyFont="1" applyBorder="1" applyAlignment="1">
      <alignment horizontal="center"/>
    </xf>
    <xf numFmtId="0" fontId="34" fillId="0" borderId="53" xfId="0" applyFont="1" applyBorder="1" applyAlignment="1">
      <alignment horizontal="center"/>
    </xf>
    <xf numFmtId="171" fontId="34" fillId="0" borderId="50" xfId="0" applyNumberFormat="1" applyFont="1" applyBorder="1" applyAlignment="1">
      <alignment horizontal="center"/>
    </xf>
    <xf numFmtId="171" fontId="34" fillId="0" borderId="52" xfId="0" applyNumberFormat="1" applyFont="1" applyBorder="1" applyAlignment="1">
      <alignment horizontal="center"/>
    </xf>
    <xf numFmtId="171" fontId="33" fillId="14" borderId="52" xfId="0" applyNumberFormat="1" applyFont="1" applyFill="1" applyBorder="1" applyAlignment="1">
      <alignment horizontal="center"/>
    </xf>
    <xf numFmtId="0" fontId="34" fillId="0" borderId="7" xfId="0" applyFont="1" applyBorder="1" applyAlignment="1">
      <alignment horizontal="center"/>
    </xf>
    <xf numFmtId="0" fontId="34" fillId="0" borderId="24" xfId="0" applyFont="1" applyBorder="1" applyAlignment="1">
      <alignment horizontal="center"/>
    </xf>
    <xf numFmtId="0" fontId="34" fillId="0" borderId="46" xfId="0" applyFont="1" applyBorder="1" applyAlignment="1">
      <alignment horizontal="center"/>
    </xf>
    <xf numFmtId="0" fontId="34" fillId="0" borderId="0" xfId="0" applyFont="1" applyBorder="1" applyAlignment="1">
      <alignment horizontal="center"/>
    </xf>
    <xf numFmtId="0" fontId="34" fillId="0" borderId="47" xfId="0" applyFont="1" applyBorder="1" applyAlignment="1">
      <alignment horizontal="center"/>
    </xf>
    <xf numFmtId="0" fontId="33" fillId="0" borderId="0" xfId="0" applyFont="1" applyAlignment="1">
      <alignment horizontal="left"/>
    </xf>
    <xf numFmtId="171" fontId="34" fillId="0" borderId="0" xfId="0" applyNumberFormat="1" applyFont="1" applyAlignment="1">
      <alignment horizontal="right"/>
    </xf>
    <xf numFmtId="171" fontId="34" fillId="0" borderId="38" xfId="0" applyNumberFormat="1" applyFont="1" applyBorder="1" applyAlignment="1">
      <alignment horizontal="right"/>
    </xf>
    <xf numFmtId="171" fontId="34" fillId="0" borderId="37" xfId="1" applyNumberFormat="1" applyFont="1" applyBorder="1" applyAlignment="1">
      <alignment horizontal="center"/>
    </xf>
    <xf numFmtId="171" fontId="34" fillId="0" borderId="48" xfId="1" applyNumberFormat="1" applyFont="1" applyBorder="1" applyAlignment="1">
      <alignment horizontal="center"/>
    </xf>
    <xf numFmtId="171" fontId="34" fillId="0" borderId="47" xfId="0" applyNumberFormat="1" applyFont="1" applyBorder="1" applyAlignment="1">
      <alignment horizontal="center"/>
    </xf>
    <xf numFmtId="164" fontId="33" fillId="0" borderId="46" xfId="1" applyNumberFormat="1" applyFont="1" applyBorder="1" applyAlignment="1">
      <alignment horizontal="center"/>
    </xf>
    <xf numFmtId="164" fontId="33" fillId="0" borderId="1" xfId="1" applyNumberFormat="1" applyFont="1" applyBorder="1" applyAlignment="1">
      <alignment horizontal="center"/>
    </xf>
    <xf numFmtId="164" fontId="33" fillId="0" borderId="40" xfId="1" applyNumberFormat="1" applyFont="1" applyBorder="1" applyAlignment="1">
      <alignment horizontal="center"/>
    </xf>
    <xf numFmtId="164" fontId="33" fillId="0" borderId="8" xfId="1" applyNumberFormat="1" applyFont="1" applyBorder="1" applyAlignment="1">
      <alignment horizontal="center"/>
    </xf>
    <xf numFmtId="0" fontId="33" fillId="0" borderId="0" xfId="0" applyFont="1" applyAlignment="1">
      <alignment horizontal="right"/>
    </xf>
    <xf numFmtId="164" fontId="33" fillId="0" borderId="24" xfId="1" applyNumberFormat="1" applyFont="1" applyBorder="1" applyAlignment="1">
      <alignment horizontal="center"/>
    </xf>
    <xf numFmtId="171" fontId="33" fillId="0" borderId="38" xfId="0" applyNumberFormat="1" applyFont="1" applyBorder="1" applyAlignment="1">
      <alignment horizontal="right"/>
    </xf>
    <xf numFmtId="171" fontId="33" fillId="0" borderId="47" xfId="1" applyNumberFormat="1" applyFont="1" applyBorder="1" applyAlignment="1">
      <alignment horizontal="center"/>
    </xf>
    <xf numFmtId="171" fontId="33" fillId="0" borderId="37" xfId="1" applyNumberFormat="1" applyFont="1" applyBorder="1" applyAlignment="1">
      <alignment horizontal="center"/>
    </xf>
    <xf numFmtId="171" fontId="33" fillId="0" borderId="41" xfId="1" applyNumberFormat="1" applyFont="1" applyBorder="1" applyAlignment="1">
      <alignment horizontal="center"/>
    </xf>
    <xf numFmtId="171" fontId="33" fillId="0" borderId="48" xfId="1" applyNumberFormat="1" applyFont="1" applyBorder="1" applyAlignment="1">
      <alignment horizontal="center"/>
    </xf>
    <xf numFmtId="171" fontId="33" fillId="0" borderId="50" xfId="1" applyNumberFormat="1" applyFont="1" applyBorder="1" applyAlignment="1">
      <alignment horizontal="center"/>
    </xf>
    <xf numFmtId="171" fontId="33" fillId="0" borderId="47" xfId="0" applyNumberFormat="1" applyFont="1" applyBorder="1" applyAlignment="1">
      <alignment horizontal="center"/>
    </xf>
    <xf numFmtId="171" fontId="33" fillId="0" borderId="50" xfId="0" applyNumberFormat="1" applyFont="1" applyBorder="1" applyAlignment="1">
      <alignment horizontal="center"/>
    </xf>
    <xf numFmtId="171" fontId="33" fillId="0" borderId="52" xfId="0" applyNumberFormat="1" applyFont="1" applyBorder="1" applyAlignment="1">
      <alignment horizontal="center"/>
    </xf>
    <xf numFmtId="0" fontId="34" fillId="4" borderId="0" xfId="0" applyFont="1" applyFill="1"/>
    <xf numFmtId="164" fontId="34" fillId="4" borderId="46" xfId="1" applyNumberFormat="1" applyFont="1" applyFill="1" applyBorder="1" applyAlignment="1">
      <alignment horizontal="center"/>
    </xf>
    <xf numFmtId="164" fontId="34" fillId="4" borderId="1" xfId="1" applyNumberFormat="1" applyFont="1" applyFill="1" applyBorder="1" applyAlignment="1">
      <alignment horizontal="center"/>
    </xf>
    <xf numFmtId="164" fontId="34" fillId="4" borderId="40" xfId="1" applyNumberFormat="1" applyFont="1" applyFill="1" applyBorder="1" applyAlignment="1">
      <alignment horizontal="center"/>
    </xf>
    <xf numFmtId="164" fontId="34" fillId="4" borderId="8" xfId="1" applyNumberFormat="1" applyFont="1" applyFill="1" applyBorder="1" applyAlignment="1">
      <alignment horizontal="center"/>
    </xf>
    <xf numFmtId="164" fontId="34" fillId="4" borderId="24" xfId="1" applyNumberFormat="1" applyFont="1" applyFill="1" applyBorder="1" applyAlignment="1">
      <alignment horizontal="center"/>
    </xf>
    <xf numFmtId="0" fontId="34" fillId="4" borderId="7" xfId="0" applyFont="1" applyFill="1" applyBorder="1" applyAlignment="1">
      <alignment horizontal="center"/>
    </xf>
    <xf numFmtId="0" fontId="34" fillId="4" borderId="24" xfId="0" applyFont="1" applyFill="1" applyBorder="1" applyAlignment="1">
      <alignment horizontal="center"/>
    </xf>
    <xf numFmtId="0" fontId="34" fillId="4" borderId="21" xfId="0" applyFont="1" applyFill="1" applyBorder="1" applyAlignment="1">
      <alignment horizontal="center"/>
    </xf>
    <xf numFmtId="171" fontId="33" fillId="4" borderId="21" xfId="0" applyNumberFormat="1" applyFont="1" applyFill="1" applyBorder="1" applyAlignment="1">
      <alignment horizontal="center"/>
    </xf>
    <xf numFmtId="0" fontId="33" fillId="0" borderId="7" xfId="0" applyFont="1" applyBorder="1" applyAlignment="1">
      <alignment horizontal="center"/>
    </xf>
    <xf numFmtId="0" fontId="33" fillId="0" borderId="24" xfId="0" applyFont="1" applyBorder="1" applyAlignment="1">
      <alignment horizontal="center"/>
    </xf>
    <xf numFmtId="0" fontId="33" fillId="0" borderId="21" xfId="0" applyFont="1" applyBorder="1" applyAlignment="1">
      <alignment horizontal="center"/>
    </xf>
    <xf numFmtId="0" fontId="33" fillId="0" borderId="0" xfId="0" applyFont="1" applyAlignment="1">
      <alignment horizontal="center"/>
    </xf>
    <xf numFmtId="171" fontId="34" fillId="0" borderId="48" xfId="0" applyNumberFormat="1" applyFont="1" applyBorder="1" applyAlignment="1">
      <alignment horizontal="center"/>
    </xf>
    <xf numFmtId="164" fontId="33" fillId="0" borderId="7" xfId="1" applyNumberFormat="1" applyFont="1" applyBorder="1" applyAlignment="1">
      <alignment horizontal="center"/>
    </xf>
    <xf numFmtId="171" fontId="33" fillId="0" borderId="0" xfId="0" applyNumberFormat="1" applyFont="1" applyBorder="1" applyAlignment="1">
      <alignment horizontal="right"/>
    </xf>
    <xf numFmtId="171" fontId="33" fillId="0" borderId="28" xfId="1" applyNumberFormat="1" applyFont="1" applyBorder="1" applyAlignment="1">
      <alignment horizontal="center"/>
    </xf>
    <xf numFmtId="171" fontId="33" fillId="0" borderId="15" xfId="1" applyNumberFormat="1" applyFont="1" applyBorder="1" applyAlignment="1">
      <alignment horizontal="center"/>
    </xf>
    <xf numFmtId="171" fontId="33" fillId="0" borderId="59" xfId="1" applyNumberFormat="1" applyFont="1" applyBorder="1" applyAlignment="1">
      <alignment horizontal="center"/>
    </xf>
    <xf numFmtId="171" fontId="33" fillId="0" borderId="10" xfId="1" applyNumberFormat="1" applyFont="1" applyBorder="1" applyAlignment="1">
      <alignment horizontal="center"/>
    </xf>
    <xf numFmtId="171" fontId="33" fillId="0" borderId="25" xfId="1" applyNumberFormat="1" applyFont="1" applyBorder="1" applyAlignment="1">
      <alignment horizontal="center"/>
    </xf>
    <xf numFmtId="171" fontId="33" fillId="0" borderId="28" xfId="0" applyNumberFormat="1" applyFont="1" applyBorder="1" applyAlignment="1">
      <alignment horizontal="center"/>
    </xf>
    <xf numFmtId="171" fontId="33" fillId="0" borderId="25" xfId="0" applyNumberFormat="1" applyFont="1" applyBorder="1" applyAlignment="1">
      <alignment horizontal="center"/>
    </xf>
    <xf numFmtId="171" fontId="33" fillId="0" borderId="22" xfId="0" applyNumberFormat="1" applyFont="1" applyBorder="1" applyAlignment="1">
      <alignment horizontal="center"/>
    </xf>
    <xf numFmtId="0" fontId="33" fillId="0" borderId="4" xfId="0" applyFont="1" applyBorder="1" applyAlignment="1">
      <alignment horizontal="right"/>
    </xf>
    <xf numFmtId="171" fontId="33" fillId="9" borderId="6" xfId="0" applyNumberFormat="1" applyFont="1" applyFill="1" applyBorder="1" applyAlignment="1">
      <alignment horizontal="center"/>
    </xf>
    <xf numFmtId="171" fontId="33" fillId="0" borderId="6" xfId="0" applyNumberFormat="1" applyFont="1" applyFill="1" applyBorder="1" applyAlignment="1">
      <alignment horizontal="center"/>
    </xf>
    <xf numFmtId="164" fontId="33" fillId="0" borderId="9" xfId="1" applyNumberFormat="1" applyFont="1" applyBorder="1" applyAlignment="1">
      <alignment horizontal="right" wrapText="1"/>
    </xf>
    <xf numFmtId="10" fontId="34" fillId="2" borderId="9" xfId="1" applyNumberFormat="1" applyFont="1" applyFill="1" applyBorder="1" applyAlignment="1">
      <alignment horizontal="center"/>
    </xf>
    <xf numFmtId="10" fontId="34" fillId="2" borderId="2" xfId="8" applyNumberFormat="1" applyFont="1" applyFill="1" applyBorder="1" applyAlignment="1">
      <alignment horizontal="center"/>
    </xf>
    <xf numFmtId="10" fontId="34" fillId="2" borderId="10" xfId="1" applyNumberFormat="1" applyFont="1" applyFill="1" applyBorder="1" applyAlignment="1">
      <alignment horizontal="center"/>
    </xf>
    <xf numFmtId="10" fontId="34" fillId="13" borderId="9" xfId="1" applyNumberFormat="1" applyFont="1" applyFill="1" applyBorder="1" applyAlignment="1">
      <alignment horizontal="center"/>
    </xf>
    <xf numFmtId="10" fontId="34" fillId="13" borderId="10" xfId="1" applyNumberFormat="1" applyFont="1" applyFill="1" applyBorder="1" applyAlignment="1">
      <alignment horizontal="center"/>
    </xf>
    <xf numFmtId="10" fontId="34" fillId="9" borderId="10" xfId="8" applyNumberFormat="1" applyFont="1" applyFill="1" applyBorder="1" applyAlignment="1">
      <alignment horizontal="center"/>
    </xf>
    <xf numFmtId="166" fontId="33" fillId="0" borderId="10" xfId="8" applyNumberFormat="1" applyFont="1" applyFill="1" applyBorder="1" applyAlignment="1">
      <alignment horizontal="center"/>
    </xf>
    <xf numFmtId="0" fontId="39" fillId="0" borderId="0" xfId="0" applyFont="1" applyAlignment="1">
      <alignment horizontal="center"/>
    </xf>
    <xf numFmtId="164" fontId="39" fillId="0" borderId="0" xfId="1" applyNumberFormat="1" applyFont="1" applyBorder="1" applyAlignment="1">
      <alignment horizontal="center"/>
    </xf>
    <xf numFmtId="164" fontId="39" fillId="0" borderId="0" xfId="1" applyNumberFormat="1" applyFont="1" applyAlignment="1">
      <alignment horizontal="center"/>
    </xf>
    <xf numFmtId="171" fontId="40" fillId="0" borderId="0" xfId="0" applyNumberFormat="1" applyFont="1" applyAlignment="1">
      <alignment horizontal="center"/>
    </xf>
    <xf numFmtId="171" fontId="34" fillId="0" borderId="70" xfId="1" applyNumberFormat="1" applyFont="1" applyBorder="1" applyAlignment="1">
      <alignment horizontal="center"/>
    </xf>
    <xf numFmtId="171" fontId="34" fillId="0" borderId="0" xfId="0" applyNumberFormat="1" applyFont="1" applyAlignment="1">
      <alignment horizontal="center"/>
    </xf>
    <xf numFmtId="0" fontId="34" fillId="0" borderId="4" xfId="0" applyFont="1" applyBorder="1"/>
    <xf numFmtId="0" fontId="33" fillId="0" borderId="5" xfId="0" applyFont="1" applyBorder="1" applyAlignment="1">
      <alignment horizontal="center"/>
    </xf>
    <xf numFmtId="171" fontId="33" fillId="0" borderId="5" xfId="0" applyNumberFormat="1" applyFont="1" applyBorder="1" applyAlignment="1">
      <alignment horizontal="center"/>
    </xf>
    <xf numFmtId="0" fontId="33" fillId="0" borderId="6" xfId="0" applyFont="1" applyBorder="1" applyAlignment="1">
      <alignment horizontal="center"/>
    </xf>
    <xf numFmtId="0" fontId="33" fillId="0" borderId="7" xfId="0" applyFont="1" applyBorder="1"/>
    <xf numFmtId="165" fontId="34" fillId="0" borderId="0" xfId="2" applyNumberFormat="1" applyFont="1" applyBorder="1" applyAlignment="1">
      <alignment horizontal="center"/>
    </xf>
    <xf numFmtId="171" fontId="34" fillId="0" borderId="0" xfId="2" applyNumberFormat="1" applyFont="1" applyBorder="1" applyAlignment="1">
      <alignment horizontal="center"/>
    </xf>
    <xf numFmtId="0" fontId="37" fillId="0" borderId="8" xfId="0" applyFont="1" applyBorder="1"/>
    <xf numFmtId="166" fontId="33" fillId="10" borderId="0" xfId="8" applyNumberFormat="1" applyFont="1" applyFill="1"/>
    <xf numFmtId="0" fontId="33" fillId="10" borderId="0" xfId="0" applyFont="1" applyFill="1"/>
    <xf numFmtId="0" fontId="34" fillId="10" borderId="0" xfId="0" applyFont="1" applyFill="1"/>
    <xf numFmtId="171" fontId="34" fillId="0" borderId="0" xfId="0" applyNumberFormat="1" applyFont="1" applyBorder="1" applyAlignment="1">
      <alignment horizontal="center"/>
    </xf>
    <xf numFmtId="0" fontId="34" fillId="0" borderId="7" xfId="0" applyFont="1" applyBorder="1"/>
    <xf numFmtId="0" fontId="41" fillId="0" borderId="9" xfId="0" applyFont="1" applyBorder="1"/>
    <xf numFmtId="0" fontId="34" fillId="0" borderId="2" xfId="0" applyFont="1" applyBorder="1" applyAlignment="1">
      <alignment horizontal="center"/>
    </xf>
    <xf numFmtId="171" fontId="34" fillId="0" borderId="2" xfId="0" applyNumberFormat="1" applyFont="1" applyBorder="1" applyAlignment="1">
      <alignment horizontal="center"/>
    </xf>
    <xf numFmtId="0" fontId="34" fillId="0" borderId="10" xfId="0" applyFont="1" applyBorder="1"/>
    <xf numFmtId="0" fontId="33" fillId="7" borderId="4" xfId="0" applyFont="1" applyFill="1" applyBorder="1"/>
    <xf numFmtId="171" fontId="33" fillId="7" borderId="5" xfId="0" applyNumberFormat="1" applyFont="1" applyFill="1" applyBorder="1" applyAlignment="1">
      <alignment horizontal="center"/>
    </xf>
    <xf numFmtId="171" fontId="33" fillId="7" borderId="6" xfId="0" applyNumberFormat="1" applyFont="1" applyFill="1" applyBorder="1" applyAlignment="1">
      <alignment horizontal="center"/>
    </xf>
    <xf numFmtId="171" fontId="33" fillId="7" borderId="5" xfId="0" applyNumberFormat="1" applyFont="1" applyFill="1" applyBorder="1"/>
    <xf numFmtId="173" fontId="34" fillId="0" borderId="0" xfId="0" applyNumberFormat="1" applyFont="1"/>
    <xf numFmtId="0" fontId="34" fillId="0" borderId="11" xfId="0" applyFont="1" applyBorder="1"/>
    <xf numFmtId="171" fontId="34" fillId="0" borderId="3" xfId="0" applyNumberFormat="1" applyFont="1" applyBorder="1" applyAlignment="1">
      <alignment horizontal="center"/>
    </xf>
    <xf numFmtId="166" fontId="34" fillId="0" borderId="12" xfId="8" applyNumberFormat="1" applyFont="1" applyBorder="1"/>
    <xf numFmtId="171" fontId="33" fillId="7" borderId="0" xfId="0" applyNumberFormat="1" applyFont="1" applyFill="1" applyBorder="1" applyAlignment="1">
      <alignment horizontal="center"/>
    </xf>
    <xf numFmtId="166" fontId="33" fillId="0" borderId="8" xfId="8" applyNumberFormat="1" applyFont="1" applyBorder="1"/>
    <xf numFmtId="171" fontId="34" fillId="0" borderId="8" xfId="0" applyNumberFormat="1" applyFont="1" applyBorder="1" applyAlignment="1">
      <alignment horizontal="left"/>
    </xf>
    <xf numFmtId="171" fontId="34" fillId="0" borderId="7" xfId="0" applyNumberFormat="1" applyFont="1" applyBorder="1" applyAlignment="1">
      <alignment horizontal="center"/>
    </xf>
    <xf numFmtId="171" fontId="34" fillId="0" borderId="0" xfId="8" applyNumberFormat="1" applyFont="1" applyBorder="1" applyAlignment="1">
      <alignment horizontal="center"/>
    </xf>
    <xf numFmtId="0" fontId="34" fillId="0" borderId="9" xfId="0" applyFont="1" applyBorder="1"/>
    <xf numFmtId="166" fontId="34" fillId="0" borderId="2" xfId="8" applyNumberFormat="1" applyFont="1" applyBorder="1" applyAlignment="1">
      <alignment horizontal="center"/>
    </xf>
    <xf numFmtId="171" fontId="34" fillId="0" borderId="2" xfId="0" applyNumberFormat="1" applyFont="1" applyBorder="1" applyAlignment="1">
      <alignment horizontal="left"/>
    </xf>
    <xf numFmtId="166" fontId="34" fillId="0" borderId="2" xfId="8" applyNumberFormat="1" applyFont="1" applyBorder="1"/>
    <xf numFmtId="0" fontId="36" fillId="0" borderId="4" xfId="0" applyFont="1" applyBorder="1"/>
    <xf numFmtId="0" fontId="34" fillId="0" borderId="5" xfId="0" applyFont="1" applyBorder="1" applyAlignment="1">
      <alignment horizontal="center"/>
    </xf>
    <xf numFmtId="171" fontId="34" fillId="0" borderId="5" xfId="0" applyNumberFormat="1" applyFont="1" applyBorder="1" applyAlignment="1">
      <alignment horizontal="center"/>
    </xf>
    <xf numFmtId="0" fontId="36" fillId="0" borderId="4" xfId="0" applyFont="1" applyBorder="1" applyAlignment="1">
      <alignment horizontal="right"/>
    </xf>
    <xf numFmtId="0" fontId="34" fillId="0" borderId="7" xfId="0" applyFont="1" applyBorder="1" applyAlignment="1">
      <alignment horizontal="right"/>
    </xf>
    <xf numFmtId="44" fontId="34" fillId="0" borderId="8" xfId="0" applyNumberFormat="1" applyFont="1" applyBorder="1"/>
    <xf numFmtId="164" fontId="34" fillId="0" borderId="0" xfId="1" applyNumberFormat="1" applyFont="1"/>
    <xf numFmtId="172" fontId="34" fillId="0" borderId="0" xfId="0" applyNumberFormat="1" applyFont="1"/>
    <xf numFmtId="171" fontId="34" fillId="0" borderId="0" xfId="8" applyNumberFormat="1" applyFont="1"/>
    <xf numFmtId="165" fontId="34" fillId="0" borderId="0" xfId="0" applyNumberFormat="1" applyFont="1"/>
    <xf numFmtId="164" fontId="34" fillId="0" borderId="0" xfId="1" applyNumberFormat="1" applyFont="1" applyBorder="1"/>
    <xf numFmtId="166" fontId="34" fillId="0" borderId="0" xfId="8" applyNumberFormat="1" applyFont="1" applyBorder="1"/>
    <xf numFmtId="172" fontId="34" fillId="0" borderId="0" xfId="0" applyNumberFormat="1" applyFont="1" applyBorder="1"/>
    <xf numFmtId="0" fontId="36" fillId="0" borderId="7" xfId="0" applyFont="1" applyBorder="1"/>
    <xf numFmtId="0" fontId="36" fillId="0" borderId="7" xfId="0" applyFont="1" applyBorder="1" applyAlignment="1">
      <alignment horizontal="right"/>
    </xf>
    <xf numFmtId="10" fontId="34" fillId="0" borderId="0" xfId="8" applyNumberFormat="1" applyFont="1" applyBorder="1"/>
    <xf numFmtId="0" fontId="36" fillId="0" borderId="7" xfId="0" applyFont="1" applyBorder="1" applyAlignment="1">
      <alignment horizontal="left"/>
    </xf>
    <xf numFmtId="0" fontId="34" fillId="3" borderId="5" xfId="0" applyFont="1" applyFill="1" applyBorder="1"/>
    <xf numFmtId="166" fontId="34" fillId="0" borderId="77" xfId="8" applyNumberFormat="1" applyFont="1" applyBorder="1" applyAlignment="1">
      <alignment horizontal="center"/>
    </xf>
    <xf numFmtId="0" fontId="33" fillId="0" borderId="60" xfId="0" applyFont="1" applyBorder="1" applyAlignment="1">
      <alignment horizontal="center"/>
    </xf>
    <xf numFmtId="171" fontId="34" fillId="0" borderId="61" xfId="2" applyNumberFormat="1" applyFont="1" applyBorder="1" applyAlignment="1">
      <alignment horizontal="center"/>
    </xf>
    <xf numFmtId="6" fontId="34" fillId="0" borderId="61" xfId="0" applyNumberFormat="1" applyFont="1" applyBorder="1" applyAlignment="1">
      <alignment horizontal="center"/>
    </xf>
    <xf numFmtId="171" fontId="34" fillId="0" borderId="61" xfId="0" applyNumberFormat="1" applyFont="1" applyBorder="1" applyAlignment="1">
      <alignment horizontal="center"/>
    </xf>
    <xf numFmtId="0" fontId="34" fillId="3" borderId="0" xfId="0" applyFont="1" applyFill="1" applyBorder="1" applyAlignment="1">
      <alignment horizontal="center"/>
    </xf>
    <xf numFmtId="0" fontId="33" fillId="0" borderId="47" xfId="0" applyFont="1" applyBorder="1" applyAlignment="1">
      <alignment horizontal="center"/>
    </xf>
    <xf numFmtId="171" fontId="34" fillId="0" borderId="41" xfId="2" applyNumberFormat="1" applyFont="1" applyBorder="1" applyAlignment="1">
      <alignment horizontal="center"/>
    </xf>
    <xf numFmtId="6" fontId="34" fillId="0" borderId="41" xfId="0" applyNumberFormat="1" applyFont="1" applyBorder="1" applyAlignment="1">
      <alignment horizontal="center"/>
    </xf>
    <xf numFmtId="171" fontId="34" fillId="0" borderId="41" xfId="0" applyNumberFormat="1" applyFont="1" applyBorder="1" applyAlignment="1">
      <alignment horizontal="center"/>
    </xf>
    <xf numFmtId="0" fontId="34" fillId="3" borderId="8" xfId="0" applyFont="1" applyFill="1" applyBorder="1" applyAlignment="1">
      <alignment horizontal="center"/>
    </xf>
    <xf numFmtId="0" fontId="33" fillId="0" borderId="63" xfId="0" applyFont="1" applyBorder="1" applyAlignment="1">
      <alignment horizontal="center"/>
    </xf>
    <xf numFmtId="171" fontId="34" fillId="0" borderId="64" xfId="0" applyNumberFormat="1" applyFont="1" applyBorder="1" applyAlignment="1">
      <alignment horizontal="center"/>
    </xf>
    <xf numFmtId="6" fontId="34" fillId="0" borderId="64" xfId="0" applyNumberFormat="1" applyFont="1" applyBorder="1" applyAlignment="1">
      <alignment horizontal="center"/>
    </xf>
    <xf numFmtId="0" fontId="33" fillId="0" borderId="66" xfId="0" applyFont="1" applyBorder="1" applyAlignment="1">
      <alignment horizontal="center"/>
    </xf>
    <xf numFmtId="171" fontId="34" fillId="0" borderId="67" xfId="0" applyNumberFormat="1" applyFont="1" applyBorder="1" applyAlignment="1">
      <alignment horizontal="center"/>
    </xf>
    <xf numFmtId="6" fontId="34" fillId="0" borderId="67" xfId="0" applyNumberFormat="1" applyFont="1" applyBorder="1" applyAlignment="1">
      <alignment horizontal="center"/>
    </xf>
    <xf numFmtId="171" fontId="33" fillId="0" borderId="41" xfId="0" applyNumberFormat="1" applyFont="1" applyBorder="1" applyAlignment="1">
      <alignment horizontal="center"/>
    </xf>
    <xf numFmtId="6" fontId="33" fillId="0" borderId="41" xfId="0" applyNumberFormat="1" applyFont="1" applyBorder="1" applyAlignment="1">
      <alignment horizontal="center"/>
    </xf>
    <xf numFmtId="0" fontId="33" fillId="3" borderId="0" xfId="0" applyFont="1" applyFill="1" applyBorder="1" applyAlignment="1">
      <alignment horizontal="center"/>
    </xf>
    <xf numFmtId="0" fontId="33" fillId="0" borderId="9" xfId="0" applyFont="1" applyBorder="1" applyAlignment="1">
      <alignment horizontal="center"/>
    </xf>
    <xf numFmtId="171" fontId="33" fillId="0" borderId="69" xfId="0" applyNumberFormat="1" applyFont="1" applyBorder="1" applyAlignment="1">
      <alignment horizontal="center"/>
    </xf>
    <xf numFmtId="6" fontId="33" fillId="0" borderId="69" xfId="0" applyNumberFormat="1" applyFont="1" applyBorder="1" applyAlignment="1">
      <alignment horizontal="center"/>
    </xf>
    <xf numFmtId="0" fontId="33" fillId="3" borderId="2" xfId="0" applyFont="1" applyFill="1" applyBorder="1" applyAlignment="1">
      <alignment horizontal="center"/>
    </xf>
    <xf numFmtId="0" fontId="33" fillId="0" borderId="28" xfId="0" applyFont="1" applyBorder="1" applyAlignment="1">
      <alignment horizontal="center"/>
    </xf>
    <xf numFmtId="171" fontId="33" fillId="0" borderId="59" xfId="0" applyNumberFormat="1" applyFont="1" applyBorder="1" applyAlignment="1">
      <alignment horizontal="center"/>
    </xf>
    <xf numFmtId="6" fontId="33" fillId="0" borderId="59" xfId="0" applyNumberFormat="1" applyFont="1" applyBorder="1" applyAlignment="1">
      <alignment horizontal="center"/>
    </xf>
    <xf numFmtId="0" fontId="33" fillId="0" borderId="60" xfId="0" applyFont="1" applyBorder="1" applyAlignment="1">
      <alignment horizontal="center" wrapText="1"/>
    </xf>
    <xf numFmtId="0" fontId="34" fillId="3" borderId="5" xfId="0" applyFont="1" applyFill="1" applyBorder="1" applyAlignment="1">
      <alignment horizontal="center"/>
    </xf>
    <xf numFmtId="6" fontId="34" fillId="0" borderId="60" xfId="0" applyNumberFormat="1" applyFont="1" applyBorder="1" applyAlignment="1">
      <alignment horizontal="center"/>
    </xf>
    <xf numFmtId="0" fontId="33" fillId="0" borderId="63" xfId="0" applyFont="1" applyBorder="1" applyAlignment="1">
      <alignment horizontal="center" wrapText="1"/>
    </xf>
    <xf numFmtId="0" fontId="33" fillId="0" borderId="75" xfId="0" applyFont="1" applyBorder="1" applyAlignment="1">
      <alignment horizontal="center" wrapText="1"/>
    </xf>
    <xf numFmtId="6" fontId="34" fillId="0" borderId="76" xfId="0" applyNumberFormat="1" applyFont="1" applyBorder="1" applyAlignment="1">
      <alignment horizontal="center"/>
    </xf>
    <xf numFmtId="0" fontId="34" fillId="3" borderId="2" xfId="0" applyFont="1" applyFill="1" applyBorder="1" applyAlignment="1">
      <alignment horizontal="center"/>
    </xf>
    <xf numFmtId="6" fontId="34" fillId="0" borderId="75" xfId="0" applyNumberFormat="1" applyFont="1" applyBorder="1" applyAlignment="1">
      <alignment horizontal="center"/>
    </xf>
    <xf numFmtId="166" fontId="33" fillId="0" borderId="25" xfId="8" applyNumberFormat="1" applyFont="1" applyFill="1" applyBorder="1" applyAlignment="1">
      <alignment horizontal="center"/>
    </xf>
    <xf numFmtId="0" fontId="33" fillId="11" borderId="5" xfId="0" applyFont="1" applyFill="1" applyBorder="1"/>
    <xf numFmtId="0" fontId="33" fillId="11" borderId="6" xfId="0" applyFont="1" applyFill="1" applyBorder="1"/>
    <xf numFmtId="0" fontId="33" fillId="11" borderId="2" xfId="0" applyFont="1" applyFill="1" applyBorder="1"/>
    <xf numFmtId="0" fontId="33" fillId="11" borderId="10" xfId="0" applyFont="1" applyFill="1" applyBorder="1"/>
    <xf numFmtId="171" fontId="34" fillId="2" borderId="0" xfId="0" applyNumberFormat="1" applyFont="1" applyFill="1"/>
    <xf numFmtId="165" fontId="15" fillId="0" borderId="0" xfId="2" applyNumberFormat="1" applyFont="1" applyAlignment="1">
      <alignment horizontal="center"/>
    </xf>
    <xf numFmtId="0" fontId="34" fillId="0" borderId="0" xfId="0" applyFont="1" applyFill="1"/>
    <xf numFmtId="165" fontId="34" fillId="0" borderId="0" xfId="0" applyNumberFormat="1" applyFont="1" applyFill="1" applyAlignment="1">
      <alignment horizontal="center"/>
    </xf>
    <xf numFmtId="171" fontId="34" fillId="0" borderId="0" xfId="0" applyNumberFormat="1" applyFont="1" applyFill="1" applyAlignment="1">
      <alignment horizontal="center"/>
    </xf>
    <xf numFmtId="0" fontId="33" fillId="3" borderId="7" xfId="0" applyFont="1" applyFill="1" applyBorder="1" applyAlignment="1">
      <alignment horizontal="center"/>
    </xf>
    <xf numFmtId="171" fontId="34" fillId="3" borderId="0" xfId="0" applyNumberFormat="1" applyFont="1" applyFill="1" applyBorder="1" applyAlignment="1">
      <alignment horizontal="center"/>
    </xf>
    <xf numFmtId="166" fontId="34" fillId="3" borderId="0" xfId="8" applyNumberFormat="1" applyFont="1" applyFill="1" applyBorder="1" applyAlignment="1">
      <alignment horizontal="center"/>
    </xf>
    <xf numFmtId="171" fontId="33" fillId="3" borderId="0" xfId="0" applyNumberFormat="1" applyFont="1" applyFill="1" applyBorder="1" applyAlignment="1">
      <alignment horizontal="center"/>
    </xf>
    <xf numFmtId="6" fontId="34" fillId="3" borderId="0" xfId="0" applyNumberFormat="1" applyFont="1" applyFill="1" applyBorder="1" applyAlignment="1">
      <alignment horizontal="center"/>
    </xf>
    <xf numFmtId="0" fontId="34" fillId="3" borderId="7" xfId="0" applyFont="1" applyFill="1" applyBorder="1" applyAlignment="1">
      <alignment horizontal="center"/>
    </xf>
    <xf numFmtId="6" fontId="34" fillId="3" borderId="7" xfId="0" applyNumberFormat="1" applyFont="1" applyFill="1" applyBorder="1" applyAlignment="1">
      <alignment horizontal="center"/>
    </xf>
    <xf numFmtId="166" fontId="34" fillId="3" borderId="8" xfId="8" applyNumberFormat="1" applyFont="1" applyFill="1" applyBorder="1" applyAlignment="1">
      <alignment horizontal="center"/>
    </xf>
    <xf numFmtId="171" fontId="18" fillId="0" borderId="1" xfId="2" applyNumberFormat="1" applyFont="1" applyBorder="1" applyProtection="1">
      <protection locked="0"/>
    </xf>
    <xf numFmtId="171" fontId="18" fillId="3" borderId="0" xfId="2" applyNumberFormat="1" applyFont="1" applyFill="1" applyBorder="1" applyProtection="1">
      <protection locked="0"/>
    </xf>
    <xf numFmtId="171" fontId="18" fillId="0" borderId="0" xfId="2" applyNumberFormat="1" applyFont="1" applyBorder="1" applyProtection="1">
      <protection locked="0"/>
    </xf>
    <xf numFmtId="8" fontId="18" fillId="5" borderId="8" xfId="3" applyNumberFormat="1" applyFont="1" applyFill="1" applyBorder="1" applyAlignment="1">
      <alignment horizontal="center" vertical="center"/>
    </xf>
    <xf numFmtId="8" fontId="18" fillId="0" borderId="21" xfId="3" applyNumberFormat="1" applyFont="1" applyBorder="1" applyAlignment="1">
      <alignment horizontal="center"/>
    </xf>
    <xf numFmtId="8" fontId="15" fillId="0" borderId="21" xfId="3" applyNumberFormat="1" applyFont="1" applyBorder="1" applyAlignment="1">
      <alignment horizontal="center"/>
    </xf>
    <xf numFmtId="0" fontId="15" fillId="0" borderId="0" xfId="3" applyFont="1" applyAlignment="1">
      <alignment horizontal="center"/>
    </xf>
    <xf numFmtId="174" fontId="18" fillId="0" borderId="1" xfId="20" applyNumberFormat="1" applyFont="1" applyBorder="1" applyProtection="1">
      <protection locked="0"/>
    </xf>
    <xf numFmtId="174" fontId="18" fillId="3" borderId="0" xfId="20" applyNumberFormat="1" applyFont="1" applyFill="1" applyBorder="1" applyProtection="1">
      <protection locked="0"/>
    </xf>
    <xf numFmtId="174" fontId="18" fillId="0" borderId="0" xfId="20" applyNumberFormat="1" applyFont="1" applyBorder="1" applyProtection="1">
      <protection locked="0"/>
    </xf>
    <xf numFmtId="166" fontId="18" fillId="0" borderId="0" xfId="8" applyNumberFormat="1" applyFont="1"/>
    <xf numFmtId="166" fontId="15" fillId="0" borderId="0" xfId="8" applyNumberFormat="1" applyFont="1"/>
    <xf numFmtId="0" fontId="15" fillId="0" borderId="10" xfId="3" applyFont="1" applyBorder="1" applyAlignment="1">
      <alignment horizontal="center"/>
    </xf>
    <xf numFmtId="166" fontId="18" fillId="0" borderId="7" xfId="8" applyNumberFormat="1" applyFont="1" applyBorder="1" applyAlignment="1">
      <alignment horizontal="center"/>
    </xf>
    <xf numFmtId="166" fontId="18" fillId="0" borderId="0" xfId="8" applyNumberFormat="1" applyFont="1" applyBorder="1" applyAlignment="1">
      <alignment horizontal="center"/>
    </xf>
    <xf numFmtId="166" fontId="18" fillId="0" borderId="8" xfId="8" applyNumberFormat="1" applyFont="1" applyBorder="1" applyAlignment="1">
      <alignment horizontal="center"/>
    </xf>
    <xf numFmtId="164" fontId="18" fillId="0" borderId="7" xfId="1" applyNumberFormat="1" applyFont="1" applyBorder="1" applyAlignment="1">
      <alignment horizontal="center"/>
    </xf>
    <xf numFmtId="0" fontId="18" fillId="0" borderId="0" xfId="3" applyFont="1" applyBorder="1" applyAlignment="1">
      <alignment horizontal="center"/>
    </xf>
    <xf numFmtId="165" fontId="18" fillId="0" borderId="0" xfId="2" applyNumberFormat="1" applyFont="1" applyBorder="1" applyAlignment="1">
      <alignment horizontal="center"/>
    </xf>
    <xf numFmtId="0" fontId="18" fillId="0" borderId="8" xfId="3" applyFont="1" applyBorder="1" applyAlignment="1">
      <alignment horizontal="center"/>
    </xf>
    <xf numFmtId="166" fontId="15" fillId="0" borderId="9" xfId="8" applyNumberFormat="1" applyFont="1" applyBorder="1" applyAlignment="1">
      <alignment horizontal="center"/>
    </xf>
    <xf numFmtId="166" fontId="15" fillId="0" borderId="2" xfId="8" applyNumberFormat="1" applyFont="1" applyBorder="1" applyAlignment="1">
      <alignment horizontal="center"/>
    </xf>
    <xf numFmtId="166" fontId="15" fillId="0" borderId="10" xfId="8" applyNumberFormat="1" applyFont="1" applyBorder="1" applyAlignment="1">
      <alignment horizontal="center"/>
    </xf>
    <xf numFmtId="166" fontId="18" fillId="0" borderId="11" xfId="8" applyNumberFormat="1" applyFont="1" applyBorder="1" applyAlignment="1">
      <alignment horizontal="center"/>
    </xf>
    <xf numFmtId="0" fontId="18" fillId="0" borderId="3" xfId="3" applyFont="1" applyBorder="1" applyAlignment="1">
      <alignment horizontal="center"/>
    </xf>
    <xf numFmtId="166" fontId="18" fillId="0" borderId="3" xfId="8" applyNumberFormat="1" applyFont="1" applyBorder="1" applyAlignment="1">
      <alignment horizontal="center"/>
    </xf>
    <xf numFmtId="165" fontId="18" fillId="0" borderId="3" xfId="2" applyNumberFormat="1" applyFont="1" applyBorder="1" applyAlignment="1">
      <alignment horizontal="center"/>
    </xf>
    <xf numFmtId="166" fontId="18" fillId="0" borderId="12" xfId="8" applyNumberFormat="1" applyFont="1" applyBorder="1" applyAlignment="1">
      <alignment horizontal="center"/>
    </xf>
    <xf numFmtId="0" fontId="18" fillId="0" borderId="11" xfId="8" applyNumberFormat="1" applyFont="1" applyBorder="1" applyAlignment="1">
      <alignment horizontal="center"/>
    </xf>
    <xf numFmtId="0" fontId="42" fillId="0" borderId="0" xfId="34" applyFont="1" applyBorder="1"/>
    <xf numFmtId="0" fontId="43" fillId="0" borderId="0" xfId="34" applyFont="1" applyBorder="1"/>
    <xf numFmtId="0" fontId="43" fillId="0" borderId="0" xfId="34" applyFont="1" applyBorder="1" applyAlignment="1">
      <alignment horizontal="center"/>
    </xf>
    <xf numFmtId="0" fontId="42" fillId="0" borderId="4" xfId="34" applyFont="1" applyBorder="1" applyAlignment="1">
      <alignment horizontal="center"/>
    </xf>
    <xf numFmtId="0" fontId="33" fillId="10" borderId="4" xfId="4" applyFont="1" applyFill="1" applyBorder="1" applyAlignment="1">
      <alignment horizontal="center"/>
    </xf>
    <xf numFmtId="0" fontId="33" fillId="10" borderId="14" xfId="4" applyFont="1" applyFill="1" applyBorder="1" applyAlignment="1">
      <alignment horizontal="center"/>
    </xf>
    <xf numFmtId="0" fontId="33" fillId="10" borderId="58" xfId="4" applyFont="1" applyFill="1" applyBorder="1" applyAlignment="1">
      <alignment horizontal="center"/>
    </xf>
    <xf numFmtId="0" fontId="33" fillId="2" borderId="34" xfId="4" applyFont="1" applyFill="1" applyBorder="1" applyAlignment="1">
      <alignment horizontal="center"/>
    </xf>
    <xf numFmtId="0" fontId="42" fillId="2" borderId="6" xfId="34" applyFont="1" applyFill="1" applyBorder="1" applyAlignment="1">
      <alignment horizontal="center"/>
    </xf>
    <xf numFmtId="0" fontId="33" fillId="17" borderId="36" xfId="4" applyFont="1" applyFill="1" applyBorder="1" applyAlignment="1">
      <alignment horizontal="center"/>
    </xf>
    <xf numFmtId="0" fontId="42" fillId="0" borderId="7" xfId="34" applyFont="1" applyBorder="1" applyAlignment="1">
      <alignment horizontal="center"/>
    </xf>
    <xf numFmtId="0" fontId="33" fillId="10" borderId="7" xfId="4" applyFont="1" applyFill="1" applyBorder="1" applyAlignment="1">
      <alignment horizontal="center"/>
    </xf>
    <xf numFmtId="0" fontId="33" fillId="10" borderId="1" xfId="4" applyFont="1" applyFill="1" applyBorder="1" applyAlignment="1">
      <alignment horizontal="center"/>
    </xf>
    <xf numFmtId="0" fontId="33" fillId="10" borderId="40" xfId="4" applyFont="1" applyFill="1" applyBorder="1" applyAlignment="1">
      <alignment horizontal="center"/>
    </xf>
    <xf numFmtId="0" fontId="33" fillId="2" borderId="24" xfId="4" applyFont="1" applyFill="1" applyBorder="1" applyAlignment="1">
      <alignment horizontal="center"/>
    </xf>
    <xf numFmtId="0" fontId="42" fillId="2" borderId="8" xfId="34" applyFont="1" applyFill="1" applyBorder="1" applyAlignment="1">
      <alignment horizontal="center"/>
    </xf>
    <xf numFmtId="0" fontId="33" fillId="17" borderId="21" xfId="4" applyFont="1" applyFill="1" applyBorder="1" applyAlignment="1">
      <alignment horizontal="center"/>
    </xf>
    <xf numFmtId="0" fontId="42" fillId="2" borderId="10" xfId="34" applyFont="1" applyFill="1" applyBorder="1" applyAlignment="1">
      <alignment horizontal="center"/>
    </xf>
    <xf numFmtId="0" fontId="33" fillId="17" borderId="22" xfId="4" applyFont="1" applyFill="1" applyBorder="1" applyAlignment="1">
      <alignment horizontal="center"/>
    </xf>
    <xf numFmtId="0" fontId="33" fillId="0" borderId="4" xfId="4" applyFont="1" applyBorder="1"/>
    <xf numFmtId="0" fontId="34" fillId="0" borderId="5" xfId="4" applyFont="1" applyBorder="1"/>
    <xf numFmtId="0" fontId="34" fillId="0" borderId="4" xfId="4" applyFont="1" applyBorder="1"/>
    <xf numFmtId="0" fontId="34" fillId="0" borderId="14" xfId="4" applyFont="1" applyBorder="1"/>
    <xf numFmtId="0" fontId="34" fillId="0" borderId="58" xfId="4" applyFont="1" applyBorder="1"/>
    <xf numFmtId="0" fontId="42" fillId="0" borderId="34" xfId="34" applyFont="1" applyBorder="1"/>
    <xf numFmtId="0" fontId="43" fillId="0" borderId="8" xfId="34" applyFont="1" applyBorder="1" applyAlignment="1">
      <alignment horizontal="center"/>
    </xf>
    <xf numFmtId="0" fontId="42" fillId="0" borderId="8" xfId="34" applyFont="1" applyBorder="1"/>
    <xf numFmtId="0" fontId="33" fillId="0" borderId="7" xfId="4" applyFont="1" applyBorder="1"/>
    <xf numFmtId="0" fontId="34" fillId="0" borderId="0" xfId="4" applyFont="1" applyBorder="1"/>
    <xf numFmtId="171" fontId="34" fillId="0" borderId="7" xfId="4" applyNumberFormat="1" applyFont="1" applyBorder="1" applyAlignment="1">
      <alignment horizontal="center"/>
    </xf>
    <xf numFmtId="171" fontId="34" fillId="0" borderId="7" xfId="20" applyNumberFormat="1" applyFont="1" applyFill="1" applyBorder="1" applyAlignment="1">
      <alignment horizontal="center"/>
    </xf>
    <xf numFmtId="171" fontId="34" fillId="0" borderId="1" xfId="20" applyNumberFormat="1" applyFont="1" applyFill="1" applyBorder="1" applyAlignment="1">
      <alignment horizontal="center"/>
    </xf>
    <xf numFmtId="171" fontId="34" fillId="0" borderId="40" xfId="20" applyNumberFormat="1" applyFont="1" applyFill="1" applyBorder="1" applyAlignment="1">
      <alignment horizontal="center"/>
    </xf>
    <xf numFmtId="171" fontId="42" fillId="0" borderId="24" xfId="34" applyNumberFormat="1" applyFont="1" applyBorder="1"/>
    <xf numFmtId="166" fontId="43" fillId="0" borderId="8" xfId="35" applyNumberFormat="1" applyFont="1" applyBorder="1" applyAlignment="1">
      <alignment horizontal="center"/>
    </xf>
    <xf numFmtId="171" fontId="43" fillId="0" borderId="8" xfId="34" applyNumberFormat="1" applyFont="1" applyBorder="1"/>
    <xf numFmtId="0" fontId="33" fillId="0" borderId="11" xfId="4" applyFont="1" applyBorder="1"/>
    <xf numFmtId="0" fontId="34" fillId="0" borderId="3" xfId="4" applyFont="1" applyBorder="1"/>
    <xf numFmtId="171" fontId="34" fillId="0" borderId="11" xfId="4" applyNumberFormat="1" applyFont="1" applyBorder="1" applyAlignment="1">
      <alignment horizontal="center"/>
    </xf>
    <xf numFmtId="171" fontId="34" fillId="0" borderId="11" xfId="20" applyNumberFormat="1" applyFont="1" applyFill="1" applyBorder="1" applyAlignment="1">
      <alignment horizontal="center"/>
    </xf>
    <xf numFmtId="171" fontId="34" fillId="0" borderId="16" xfId="20" applyNumberFormat="1" applyFont="1" applyFill="1" applyBorder="1" applyAlignment="1">
      <alignment horizontal="center"/>
    </xf>
    <xf numFmtId="171" fontId="34" fillId="0" borderId="78" xfId="20" applyNumberFormat="1" applyFont="1" applyFill="1" applyBorder="1" applyAlignment="1">
      <alignment horizontal="center"/>
    </xf>
    <xf numFmtId="171" fontId="42" fillId="0" borderId="79" xfId="34" applyNumberFormat="1" applyFont="1" applyBorder="1"/>
    <xf numFmtId="166" fontId="43" fillId="0" borderId="12" xfId="35" applyNumberFormat="1" applyFont="1" applyBorder="1" applyAlignment="1">
      <alignment horizontal="center"/>
    </xf>
    <xf numFmtId="171" fontId="43" fillId="0" borderId="80" xfId="34" applyNumberFormat="1" applyFont="1" applyBorder="1"/>
    <xf numFmtId="0" fontId="33" fillId="0" borderId="0" xfId="4" applyFont="1" applyBorder="1"/>
    <xf numFmtId="171" fontId="33" fillId="0" borderId="7" xfId="4" applyNumberFormat="1" applyFont="1" applyFill="1" applyBorder="1" applyAlignment="1">
      <alignment horizontal="center"/>
    </xf>
    <xf numFmtId="171" fontId="33" fillId="0" borderId="1" xfId="4" applyNumberFormat="1" applyFont="1" applyFill="1" applyBorder="1" applyAlignment="1">
      <alignment horizontal="center"/>
    </xf>
    <xf numFmtId="171" fontId="33" fillId="0" borderId="40" xfId="4" applyNumberFormat="1" applyFont="1" applyFill="1" applyBorder="1" applyAlignment="1">
      <alignment horizontal="center"/>
    </xf>
    <xf numFmtId="166" fontId="42" fillId="0" borderId="8" xfId="35" applyNumberFormat="1" applyFont="1" applyBorder="1" applyAlignment="1">
      <alignment horizontal="center"/>
    </xf>
    <xf numFmtId="171" fontId="42" fillId="0" borderId="8" xfId="34" applyNumberFormat="1" applyFont="1" applyBorder="1"/>
    <xf numFmtId="171" fontId="34" fillId="0" borderId="1" xfId="34" applyNumberFormat="1" applyFont="1" applyBorder="1" applyAlignment="1">
      <alignment horizontal="center"/>
    </xf>
    <xf numFmtId="0" fontId="33" fillId="0" borderId="9" xfId="4" applyFont="1" applyBorder="1"/>
    <xf numFmtId="0" fontId="34" fillId="0" borderId="2" xfId="4" applyFont="1" applyBorder="1"/>
    <xf numFmtId="171" fontId="34" fillId="0" borderId="9" xfId="4" applyNumberFormat="1" applyFont="1" applyBorder="1" applyAlignment="1">
      <alignment horizontal="center"/>
    </xf>
    <xf numFmtId="171" fontId="34" fillId="0" borderId="9" xfId="20" applyNumberFormat="1" applyFont="1" applyFill="1" applyBorder="1" applyAlignment="1">
      <alignment horizontal="center"/>
    </xf>
    <xf numFmtId="171" fontId="34" fillId="0" borderId="15" xfId="20" applyNumberFormat="1" applyFont="1" applyFill="1" applyBorder="1" applyAlignment="1">
      <alignment horizontal="center"/>
    </xf>
    <xf numFmtId="171" fontId="34" fillId="0" borderId="59" xfId="20" applyNumberFormat="1" applyFont="1" applyFill="1" applyBorder="1" applyAlignment="1">
      <alignment horizontal="center"/>
    </xf>
    <xf numFmtId="171" fontId="42" fillId="0" borderId="25" xfId="34" applyNumberFormat="1" applyFont="1" applyBorder="1"/>
    <xf numFmtId="166" fontId="43" fillId="0" borderId="10" xfId="35" applyNumberFormat="1" applyFont="1" applyBorder="1" applyAlignment="1">
      <alignment horizontal="center"/>
    </xf>
    <xf numFmtId="0" fontId="43" fillId="18" borderId="0" xfId="34" applyFont="1" applyFill="1" applyBorder="1"/>
    <xf numFmtId="0" fontId="43" fillId="18" borderId="36" xfId="34" applyFont="1" applyFill="1" applyBorder="1"/>
    <xf numFmtId="164" fontId="34" fillId="18" borderId="7" xfId="20" applyNumberFormat="1" applyFont="1" applyFill="1" applyBorder="1" applyAlignment="1">
      <alignment horizontal="center"/>
    </xf>
    <xf numFmtId="164" fontId="34" fillId="18" borderId="0" xfId="20" applyNumberFormat="1" applyFont="1" applyFill="1" applyBorder="1" applyAlignment="1">
      <alignment horizontal="center"/>
    </xf>
    <xf numFmtId="5" fontId="42" fillId="18" borderId="8" xfId="34" applyNumberFormat="1" applyFont="1" applyFill="1" applyBorder="1"/>
    <xf numFmtId="0" fontId="43" fillId="18" borderId="0" xfId="34" applyFont="1" applyFill="1" applyBorder="1" applyAlignment="1">
      <alignment horizontal="center"/>
    </xf>
    <xf numFmtId="5" fontId="42" fillId="18" borderId="36" xfId="34" applyNumberFormat="1" applyFont="1" applyFill="1" applyBorder="1"/>
    <xf numFmtId="0" fontId="42" fillId="0" borderId="4" xfId="34" applyFont="1" applyBorder="1"/>
    <xf numFmtId="5" fontId="33" fillId="0" borderId="4" xfId="4" applyNumberFormat="1" applyFont="1" applyBorder="1" applyAlignment="1">
      <alignment horizontal="center"/>
    </xf>
    <xf numFmtId="5" fontId="33" fillId="0" borderId="5" xfId="4" applyNumberFormat="1" applyFont="1" applyBorder="1" applyAlignment="1">
      <alignment horizontal="center"/>
    </xf>
    <xf numFmtId="5" fontId="42" fillId="0" borderId="6" xfId="34" applyNumberFormat="1" applyFont="1" applyBorder="1"/>
    <xf numFmtId="0" fontId="43" fillId="0" borderId="5" xfId="34" applyFont="1" applyBorder="1" applyAlignment="1">
      <alignment horizontal="center"/>
    </xf>
    <xf numFmtId="5" fontId="42" fillId="0" borderId="36" xfId="34" applyNumberFormat="1" applyFont="1" applyBorder="1"/>
    <xf numFmtId="0" fontId="43" fillId="0" borderId="9" xfId="34" applyFont="1" applyBorder="1"/>
    <xf numFmtId="0" fontId="43" fillId="0" borderId="22" xfId="34" applyFont="1" applyBorder="1"/>
    <xf numFmtId="166" fontId="43" fillId="0" borderId="9" xfId="35" applyNumberFormat="1" applyFont="1" applyBorder="1" applyAlignment="1">
      <alignment horizontal="center"/>
    </xf>
    <xf numFmtId="166" fontId="43" fillId="0" borderId="2" xfId="35" applyNumberFormat="1" applyFont="1" applyBorder="1" applyAlignment="1">
      <alignment horizontal="center"/>
    </xf>
    <xf numFmtId="166" fontId="42" fillId="0" borderId="10" xfId="34" applyNumberFormat="1" applyFont="1" applyBorder="1"/>
    <xf numFmtId="0" fontId="43" fillId="0" borderId="7" xfId="34" applyFont="1" applyBorder="1" applyAlignment="1">
      <alignment horizontal="center"/>
    </xf>
    <xf numFmtId="0" fontId="42" fillId="0" borderId="10" xfId="34" applyFont="1" applyBorder="1"/>
    <xf numFmtId="0" fontId="43" fillId="0" borderId="20" xfId="34" applyFont="1" applyBorder="1"/>
    <xf numFmtId="166" fontId="43" fillId="0" borderId="17" xfId="35" applyNumberFormat="1" applyFont="1" applyBorder="1" applyAlignment="1">
      <alignment horizontal="center"/>
    </xf>
    <xf numFmtId="166" fontId="43" fillId="0" borderId="18" xfId="35" applyNumberFormat="1" applyFont="1" applyBorder="1" applyAlignment="1">
      <alignment horizontal="center"/>
    </xf>
    <xf numFmtId="0" fontId="42" fillId="0" borderId="19" xfId="34" applyFont="1" applyBorder="1"/>
    <xf numFmtId="166" fontId="43" fillId="0" borderId="0" xfId="35" applyNumberFormat="1" applyFont="1" applyBorder="1"/>
    <xf numFmtId="0" fontId="8" fillId="0" borderId="0" xfId="38" applyFill="1" applyBorder="1"/>
    <xf numFmtId="0" fontId="46" fillId="0" borderId="0" xfId="38" applyFont="1" applyFill="1" applyBorder="1" applyAlignment="1">
      <alignment horizontal="left"/>
    </xf>
    <xf numFmtId="166" fontId="46" fillId="0" borderId="0" xfId="39" applyNumberFormat="1" applyFont="1" applyFill="1" applyBorder="1" applyAlignment="1">
      <alignment horizontal="left" indent="9"/>
    </xf>
    <xf numFmtId="165" fontId="46" fillId="0" borderId="0" xfId="39" applyNumberFormat="1" applyFont="1" applyFill="1" applyBorder="1"/>
    <xf numFmtId="165" fontId="45" fillId="0" borderId="0" xfId="39" applyNumberFormat="1" applyFont="1" applyFill="1" applyBorder="1" applyAlignment="1">
      <alignment horizontal="center"/>
    </xf>
    <xf numFmtId="0" fontId="44" fillId="0" borderId="0" xfId="38" applyFont="1" applyFill="1" applyBorder="1" applyAlignment="1">
      <alignment horizontal="center"/>
    </xf>
    <xf numFmtId="0" fontId="45" fillId="0" borderId="4" xfId="38" applyFont="1" applyFill="1" applyBorder="1" applyAlignment="1">
      <alignment horizontal="center"/>
    </xf>
    <xf numFmtId="165" fontId="45" fillId="0" borderId="5" xfId="39" applyNumberFormat="1" applyFont="1" applyFill="1" applyBorder="1" applyAlignment="1">
      <alignment horizontal="center"/>
    </xf>
    <xf numFmtId="165" fontId="45" fillId="0" borderId="6" xfId="39" applyNumberFormat="1" applyFont="1" applyFill="1" applyBorder="1" applyAlignment="1">
      <alignment horizontal="center"/>
    </xf>
    <xf numFmtId="165" fontId="44" fillId="0" borderId="0" xfId="39" applyNumberFormat="1" applyFont="1" applyFill="1" applyBorder="1" applyAlignment="1">
      <alignment horizontal="center"/>
    </xf>
    <xf numFmtId="0" fontId="8" fillId="0" borderId="0" xfId="38" applyFill="1" applyBorder="1" applyAlignment="1">
      <alignment horizontal="center"/>
    </xf>
    <xf numFmtId="165" fontId="0" fillId="0" borderId="0" xfId="39" applyNumberFormat="1" applyFont="1" applyFill="1" applyBorder="1" applyAlignment="1">
      <alignment horizontal="center"/>
    </xf>
    <xf numFmtId="166" fontId="0" fillId="0" borderId="0" xfId="40" applyNumberFormat="1" applyFont="1" applyFill="1" applyBorder="1" applyAlignment="1">
      <alignment horizontal="center"/>
    </xf>
    <xf numFmtId="0" fontId="46" fillId="19" borderId="7" xfId="38" applyFont="1" applyFill="1" applyBorder="1" applyAlignment="1">
      <alignment horizontal="center"/>
    </xf>
    <xf numFmtId="165" fontId="45" fillId="0" borderId="8" xfId="39" applyNumberFormat="1" applyFont="1" applyFill="1" applyBorder="1" applyAlignment="1">
      <alignment horizontal="center"/>
    </xf>
    <xf numFmtId="0" fontId="45" fillId="19" borderId="63" xfId="38" applyFont="1" applyFill="1" applyBorder="1" applyAlignment="1">
      <alignment horizontal="center"/>
    </xf>
    <xf numFmtId="165" fontId="46" fillId="0" borderId="64" xfId="39" applyNumberFormat="1" applyFont="1" applyFill="1" applyBorder="1"/>
    <xf numFmtId="5" fontId="45" fillId="0" borderId="65" xfId="38" applyNumberFormat="1" applyFont="1" applyFill="1" applyBorder="1" applyAlignment="1">
      <alignment horizontal="center"/>
    </xf>
    <xf numFmtId="3" fontId="0" fillId="0" borderId="0" xfId="41" applyNumberFormat="1" applyFont="1" applyFill="1" applyBorder="1" applyAlignment="1">
      <alignment horizontal="center"/>
    </xf>
    <xf numFmtId="166" fontId="46" fillId="19" borderId="64" xfId="40" applyNumberFormat="1" applyFont="1" applyFill="1" applyBorder="1" applyAlignment="1">
      <alignment horizontal="center"/>
    </xf>
    <xf numFmtId="166" fontId="45" fillId="19" borderId="65" xfId="40" applyNumberFormat="1" applyFont="1" applyFill="1" applyBorder="1" applyAlignment="1">
      <alignment horizontal="center"/>
    </xf>
    <xf numFmtId="0" fontId="45" fillId="19" borderId="75" xfId="38" applyFont="1" applyFill="1" applyBorder="1" applyAlignment="1">
      <alignment horizontal="center"/>
    </xf>
    <xf numFmtId="166" fontId="46" fillId="19" borderId="76" xfId="40" applyNumberFormat="1" applyFont="1" applyFill="1" applyBorder="1" applyAlignment="1">
      <alignment horizontal="center"/>
    </xf>
    <xf numFmtId="166" fontId="45" fillId="19" borderId="77" xfId="40" applyNumberFormat="1" applyFont="1" applyFill="1" applyBorder="1" applyAlignment="1">
      <alignment horizontal="center"/>
    </xf>
    <xf numFmtId="165" fontId="0" fillId="0" borderId="0" xfId="39" applyNumberFormat="1" applyFont="1" applyFill="1" applyBorder="1"/>
    <xf numFmtId="0" fontId="46" fillId="0" borderId="0" xfId="38" applyFont="1" applyFill="1" applyBorder="1" applyAlignment="1">
      <alignment horizontal="center"/>
    </xf>
    <xf numFmtId="166" fontId="46" fillId="0" borderId="0" xfId="40" applyNumberFormat="1" applyFont="1" applyFill="1" applyBorder="1"/>
    <xf numFmtId="10" fontId="45" fillId="0" borderId="0" xfId="40" applyNumberFormat="1" applyFont="1" applyFill="1" applyBorder="1" applyAlignment="1">
      <alignment horizontal="center"/>
    </xf>
    <xf numFmtId="166" fontId="0" fillId="0" borderId="0" xfId="40" applyNumberFormat="1" applyFont="1" applyFill="1" applyBorder="1"/>
    <xf numFmtId="165" fontId="45" fillId="0" borderId="61" xfId="39" applyNumberFormat="1" applyFont="1" applyFill="1" applyBorder="1" applyAlignment="1">
      <alignment horizontal="center"/>
    </xf>
    <xf numFmtId="165" fontId="45" fillId="0" borderId="62" xfId="39" applyNumberFormat="1" applyFont="1" applyFill="1" applyBorder="1" applyAlignment="1">
      <alignment horizontal="center"/>
    </xf>
    <xf numFmtId="3" fontId="46" fillId="0" borderId="64" xfId="38" applyNumberFormat="1" applyFont="1" applyFill="1" applyBorder="1" applyAlignment="1">
      <alignment horizontal="center"/>
    </xf>
    <xf numFmtId="3" fontId="45" fillId="0" borderId="65" xfId="38" applyNumberFormat="1" applyFont="1" applyFill="1" applyBorder="1" applyAlignment="1">
      <alignment horizontal="center"/>
    </xf>
    <xf numFmtId="3" fontId="46" fillId="0" borderId="64" xfId="41" applyNumberFormat="1" applyFont="1" applyFill="1" applyBorder="1" applyAlignment="1">
      <alignment horizontal="center"/>
    </xf>
    <xf numFmtId="0" fontId="45" fillId="0" borderId="0" xfId="38" applyFont="1" applyFill="1" applyBorder="1" applyAlignment="1">
      <alignment horizontal="center"/>
    </xf>
    <xf numFmtId="166" fontId="46" fillId="0" borderId="0" xfId="40" applyNumberFormat="1" applyFont="1" applyFill="1" applyBorder="1" applyAlignment="1">
      <alignment horizontal="center"/>
    </xf>
    <xf numFmtId="166" fontId="45" fillId="0" borderId="0" xfId="40" applyNumberFormat="1" applyFont="1" applyFill="1" applyBorder="1" applyAlignment="1">
      <alignment horizontal="center"/>
    </xf>
    <xf numFmtId="0" fontId="45" fillId="0" borderId="17" xfId="38" applyFont="1" applyFill="1" applyBorder="1" applyAlignment="1">
      <alignment horizontal="center"/>
    </xf>
    <xf numFmtId="165" fontId="45" fillId="0" borderId="74" xfId="39" applyNumberFormat="1" applyFont="1" applyFill="1" applyBorder="1" applyAlignment="1">
      <alignment horizontal="center"/>
    </xf>
    <xf numFmtId="165" fontId="45" fillId="0" borderId="23" xfId="39" applyNumberFormat="1" applyFont="1" applyFill="1" applyBorder="1" applyAlignment="1">
      <alignment horizontal="center"/>
    </xf>
    <xf numFmtId="0" fontId="45" fillId="19" borderId="60" xfId="38" applyFont="1" applyFill="1" applyBorder="1" applyAlignment="1">
      <alignment horizontal="center"/>
    </xf>
    <xf numFmtId="5" fontId="46" fillId="0" borderId="61" xfId="38" applyNumberFormat="1" applyFont="1" applyFill="1" applyBorder="1" applyAlignment="1">
      <alignment horizontal="center"/>
    </xf>
    <xf numFmtId="5" fontId="45" fillId="0" borderId="62" xfId="38" applyNumberFormat="1" applyFont="1" applyFill="1" applyBorder="1" applyAlignment="1">
      <alignment horizontal="center"/>
    </xf>
    <xf numFmtId="5" fontId="46" fillId="0" borderId="64" xfId="38" applyNumberFormat="1" applyFont="1" applyFill="1" applyBorder="1" applyAlignment="1">
      <alignment horizontal="center"/>
    </xf>
    <xf numFmtId="0" fontId="44" fillId="0" borderId="0" xfId="38" applyFont="1" applyFill="1" applyBorder="1" applyAlignment="1">
      <alignment horizontal="left"/>
    </xf>
    <xf numFmtId="165" fontId="48" fillId="0" borderId="7" xfId="39" applyNumberFormat="1" applyFont="1" applyFill="1" applyBorder="1" applyAlignment="1">
      <alignment horizontal="left"/>
    </xf>
    <xf numFmtId="3" fontId="48" fillId="0" borderId="0" xfId="39" applyNumberFormat="1" applyFont="1" applyFill="1" applyBorder="1" applyAlignment="1">
      <alignment horizontal="right"/>
    </xf>
    <xf numFmtId="165" fontId="47" fillId="0" borderId="0" xfId="39" applyNumberFormat="1" applyFont="1" applyFill="1" applyBorder="1" applyAlignment="1">
      <alignment horizontal="center"/>
    </xf>
    <xf numFmtId="165" fontId="48" fillId="0" borderId="0" xfId="39" applyNumberFormat="1" applyFont="1" applyFill="1" applyBorder="1" applyAlignment="1">
      <alignment horizontal="right"/>
    </xf>
    <xf numFmtId="165" fontId="48" fillId="0" borderId="0" xfId="39" applyNumberFormat="1" applyFont="1" applyFill="1" applyBorder="1" applyAlignment="1">
      <alignment horizontal="left"/>
    </xf>
    <xf numFmtId="165" fontId="48" fillId="0" borderId="0" xfId="39" applyNumberFormat="1" applyFont="1" applyFill="1" applyBorder="1"/>
    <xf numFmtId="165" fontId="48" fillId="0" borderId="8" xfId="39" applyNumberFormat="1" applyFont="1" applyFill="1" applyBorder="1"/>
    <xf numFmtId="165" fontId="48" fillId="0" borderId="7" xfId="39" applyNumberFormat="1" applyFont="1" applyFill="1" applyBorder="1"/>
    <xf numFmtId="3" fontId="48" fillId="0" borderId="0" xfId="39" applyNumberFormat="1" applyFont="1" applyFill="1" applyBorder="1"/>
    <xf numFmtId="165" fontId="47" fillId="0" borderId="7" xfId="39" applyNumberFormat="1" applyFont="1" applyFill="1" applyBorder="1"/>
    <xf numFmtId="166" fontId="48" fillId="0" borderId="0" xfId="39" applyNumberFormat="1" applyFont="1" applyFill="1" applyBorder="1"/>
    <xf numFmtId="165" fontId="47" fillId="0" borderId="0" xfId="39" applyNumberFormat="1" applyFont="1" applyFill="1" applyBorder="1" applyAlignment="1">
      <alignment horizontal="left"/>
    </xf>
    <xf numFmtId="166" fontId="48" fillId="0" borderId="8" xfId="39" applyNumberFormat="1" applyFont="1" applyFill="1" applyBorder="1"/>
    <xf numFmtId="165" fontId="47" fillId="0" borderId="9" xfId="39" applyNumberFormat="1" applyFont="1" applyFill="1" applyBorder="1"/>
    <xf numFmtId="166" fontId="48" fillId="0" borderId="2" xfId="39" applyNumberFormat="1" applyFont="1" applyFill="1" applyBorder="1"/>
    <xf numFmtId="165" fontId="48" fillId="0" borderId="2" xfId="39" applyNumberFormat="1" applyFont="1" applyFill="1" applyBorder="1"/>
    <xf numFmtId="165" fontId="47" fillId="0" borderId="2" xfId="39" applyNumberFormat="1" applyFont="1" applyFill="1" applyBorder="1" applyAlignment="1">
      <alignment horizontal="left"/>
    </xf>
    <xf numFmtId="166" fontId="48" fillId="0" borderId="10" xfId="39" applyNumberFormat="1" applyFont="1" applyFill="1" applyBorder="1"/>
    <xf numFmtId="0" fontId="0" fillId="0" borderId="0" xfId="39" applyNumberFormat="1" applyFont="1" applyFill="1" applyBorder="1"/>
    <xf numFmtId="9" fontId="0" fillId="0" borderId="0" xfId="39" applyNumberFormat="1" applyFont="1" applyFill="1" applyBorder="1"/>
    <xf numFmtId="170" fontId="8" fillId="0" borderId="0" xfId="38" applyNumberFormat="1" applyAlignment="1">
      <alignment horizontal="center"/>
    </xf>
    <xf numFmtId="0" fontId="45" fillId="0" borderId="42" xfId="38" applyFont="1" applyFill="1" applyBorder="1" applyAlignment="1">
      <alignment horizontal="center"/>
    </xf>
    <xf numFmtId="165" fontId="46" fillId="9" borderId="64" xfId="39" applyNumberFormat="1" applyFont="1" applyFill="1" applyBorder="1"/>
    <xf numFmtId="167" fontId="15" fillId="0" borderId="0" xfId="3" applyNumberFormat="1" applyFont="1"/>
    <xf numFmtId="168" fontId="15" fillId="0" borderId="0" xfId="3" applyNumberFormat="1" applyFont="1"/>
    <xf numFmtId="37" fontId="18" fillId="0" borderId="0" xfId="12" applyNumberFormat="1" applyFont="1" applyFill="1" applyBorder="1" applyAlignment="1">
      <alignment horizontal="center"/>
    </xf>
    <xf numFmtId="167" fontId="18" fillId="0" borderId="2" xfId="12" applyNumberFormat="1" applyFont="1" applyFill="1" applyBorder="1" applyAlignment="1">
      <alignment horizontal="center"/>
    </xf>
    <xf numFmtId="37" fontId="18" fillId="0" borderId="0" xfId="43" applyNumberFormat="1" applyFont="1" applyBorder="1" applyProtection="1">
      <protection locked="0"/>
    </xf>
    <xf numFmtId="167" fontId="18" fillId="0" borderId="8" xfId="47" applyNumberFormat="1" applyFont="1" applyBorder="1" applyProtection="1">
      <protection locked="0"/>
    </xf>
    <xf numFmtId="167" fontId="18" fillId="0" borderId="8" xfId="47" applyNumberFormat="1" applyFont="1" applyBorder="1" applyAlignment="1" applyProtection="1">
      <alignment horizontal="right"/>
      <protection locked="0"/>
    </xf>
    <xf numFmtId="37" fontId="18" fillId="0" borderId="8" xfId="47" applyNumberFormat="1" applyFont="1" applyFill="1" applyBorder="1" applyAlignment="1">
      <alignment horizontal="center"/>
    </xf>
    <xf numFmtId="167" fontId="18" fillId="0" borderId="10" xfId="47" applyNumberFormat="1" applyFont="1" applyFill="1" applyBorder="1" applyAlignment="1">
      <alignment horizontal="center"/>
    </xf>
    <xf numFmtId="37" fontId="18" fillId="0" borderId="8" xfId="43" applyNumberFormat="1" applyFont="1" applyBorder="1" applyProtection="1">
      <protection locked="0"/>
    </xf>
    <xf numFmtId="37" fontId="18" fillId="0" borderId="8" xfId="47" applyNumberFormat="1" applyFont="1" applyBorder="1" applyProtection="1">
      <protection locked="0"/>
    </xf>
    <xf numFmtId="37" fontId="18" fillId="0" borderId="8" xfId="47" applyNumberFormat="1" applyFont="1" applyBorder="1" applyAlignment="1" applyProtection="1">
      <alignment horizontal="right"/>
      <protection locked="0"/>
    </xf>
    <xf numFmtId="37" fontId="18" fillId="0" borderId="12" xfId="47" applyNumberFormat="1" applyFont="1" applyBorder="1" applyAlignment="1" applyProtection="1">
      <alignment horizontal="right"/>
      <protection locked="0"/>
    </xf>
    <xf numFmtId="164" fontId="15" fillId="0" borderId="2" xfId="1" applyNumberFormat="1" applyFont="1" applyBorder="1"/>
    <xf numFmtId="164" fontId="15" fillId="0" borderId="10" xfId="1" applyNumberFormat="1" applyFont="1" applyBorder="1"/>
    <xf numFmtId="167" fontId="18" fillId="0" borderId="12" xfId="47" applyNumberFormat="1" applyFont="1" applyBorder="1" applyAlignment="1" applyProtection="1">
      <alignment horizontal="right"/>
      <protection locked="0"/>
    </xf>
    <xf numFmtId="0" fontId="16" fillId="0" borderId="4" xfId="3" applyFont="1" applyBorder="1" applyAlignment="1">
      <alignment horizontal="left"/>
    </xf>
    <xf numFmtId="0" fontId="15" fillId="0" borderId="5" xfId="3" applyFont="1" applyBorder="1"/>
    <xf numFmtId="0" fontId="15" fillId="0" borderId="6" xfId="3" applyFont="1" applyBorder="1"/>
    <xf numFmtId="0" fontId="18" fillId="0" borderId="7" xfId="3" applyNumberFormat="1" applyFont="1" applyBorder="1" applyAlignment="1" applyProtection="1">
      <alignment horizontal="left"/>
      <protection locked="0"/>
    </xf>
    <xf numFmtId="165" fontId="15" fillId="3" borderId="0" xfId="44" applyNumberFormat="1" applyFont="1" applyFill="1" applyBorder="1"/>
    <xf numFmtId="37" fontId="18" fillId="0" borderId="0" xfId="47" applyNumberFormat="1" applyFont="1" applyBorder="1" applyProtection="1">
      <protection locked="0"/>
    </xf>
    <xf numFmtId="165" fontId="18" fillId="3" borderId="0" xfId="44" applyNumberFormat="1" applyFont="1" applyFill="1" applyBorder="1" applyProtection="1">
      <protection locked="0"/>
    </xf>
    <xf numFmtId="0" fontId="18" fillId="0" borderId="7" xfId="3" applyFont="1" applyBorder="1" applyAlignment="1">
      <alignment horizontal="left"/>
    </xf>
    <xf numFmtId="37" fontId="18" fillId="0" borderId="0" xfId="47" applyNumberFormat="1" applyFont="1" applyBorder="1" applyAlignment="1" applyProtection="1">
      <alignment horizontal="right"/>
      <protection locked="0"/>
    </xf>
    <xf numFmtId="37" fontId="18" fillId="0" borderId="3" xfId="47" applyNumberFormat="1" applyFont="1" applyBorder="1" applyAlignment="1" applyProtection="1">
      <alignment horizontal="right"/>
      <protection locked="0"/>
    </xf>
    <xf numFmtId="165" fontId="18" fillId="3" borderId="3" xfId="44" applyNumberFormat="1" applyFont="1" applyFill="1" applyBorder="1" applyProtection="1">
      <protection locked="0"/>
    </xf>
    <xf numFmtId="0" fontId="18" fillId="3" borderId="7" xfId="3" applyFont="1" applyFill="1" applyBorder="1" applyAlignment="1">
      <alignment horizontal="left"/>
    </xf>
    <xf numFmtId="167" fontId="18" fillId="0" borderId="0" xfId="47" applyNumberFormat="1" applyFont="1" applyBorder="1" applyProtection="1">
      <protection locked="0"/>
    </xf>
    <xf numFmtId="167" fontId="18" fillId="0" borderId="0" xfId="47" applyNumberFormat="1" applyFont="1" applyBorder="1" applyAlignment="1" applyProtection="1">
      <alignment horizontal="right"/>
      <protection locked="0"/>
    </xf>
    <xf numFmtId="167" fontId="18" fillId="0" borderId="3" xfId="47" applyNumberFormat="1" applyFont="1" applyBorder="1" applyAlignment="1" applyProtection="1">
      <alignment horizontal="right"/>
      <protection locked="0"/>
    </xf>
    <xf numFmtId="0" fontId="15" fillId="0" borderId="7" xfId="3" applyFont="1" applyBorder="1" applyAlignment="1">
      <alignment horizontal="left"/>
    </xf>
    <xf numFmtId="37" fontId="18" fillId="0" borderId="0" xfId="47" applyNumberFormat="1" applyFont="1" applyFill="1" applyBorder="1" applyAlignment="1">
      <alignment horizontal="center"/>
    </xf>
    <xf numFmtId="0" fontId="18" fillId="0" borderId="9" xfId="3" applyFont="1" applyBorder="1" applyAlignment="1">
      <alignment horizontal="left"/>
    </xf>
    <xf numFmtId="167" fontId="18" fillId="0" borderId="2" xfId="47" applyNumberFormat="1" applyFont="1" applyFill="1" applyBorder="1" applyAlignment="1">
      <alignment horizontal="center"/>
    </xf>
    <xf numFmtId="165" fontId="15" fillId="3" borderId="2" xfId="44" applyNumberFormat="1" applyFont="1" applyFill="1" applyBorder="1"/>
    <xf numFmtId="0" fontId="15" fillId="0" borderId="0" xfId="3" applyFont="1" applyAlignment="1">
      <alignment horizontal="center"/>
    </xf>
    <xf numFmtId="166" fontId="16" fillId="0" borderId="1" xfId="8" applyNumberFormat="1" applyFont="1" applyBorder="1" applyAlignment="1" applyProtection="1">
      <alignment horizontal="center" wrapText="1"/>
      <protection locked="0"/>
    </xf>
    <xf numFmtId="1" fontId="34" fillId="0" borderId="0" xfId="1" applyNumberFormat="1" applyFont="1" applyAlignment="1">
      <alignment horizontal="center"/>
    </xf>
    <xf numFmtId="1" fontId="33" fillId="0" borderId="0" xfId="1" applyNumberFormat="1" applyFont="1" applyAlignment="1">
      <alignment horizontal="center"/>
    </xf>
    <xf numFmtId="10" fontId="15" fillId="0" borderId="0" xfId="8" applyNumberFormat="1" applyFont="1" applyBorder="1" applyProtection="1">
      <protection locked="0"/>
    </xf>
    <xf numFmtId="171" fontId="42" fillId="0" borderId="0" xfId="34" applyNumberFormat="1" applyFont="1" applyBorder="1"/>
    <xf numFmtId="3" fontId="18" fillId="0" borderId="7" xfId="1" applyNumberFormat="1" applyFont="1" applyBorder="1" applyAlignment="1">
      <alignment horizontal="center" vertical="center"/>
    </xf>
    <xf numFmtId="3" fontId="18" fillId="0" borderId="0" xfId="1" applyNumberFormat="1" applyFont="1" applyBorder="1" applyAlignment="1">
      <alignment horizontal="center" vertical="center"/>
    </xf>
    <xf numFmtId="3" fontId="18" fillId="0" borderId="8" xfId="1" applyNumberFormat="1" applyFont="1" applyBorder="1" applyAlignment="1">
      <alignment horizontal="center" vertical="center"/>
    </xf>
    <xf numFmtId="3" fontId="18" fillId="0" borderId="0" xfId="3" applyNumberFormat="1" applyFont="1" applyBorder="1" applyAlignment="1">
      <alignment horizontal="center" vertical="center"/>
    </xf>
    <xf numFmtId="3" fontId="18" fillId="0" borderId="0" xfId="2" applyNumberFormat="1" applyFont="1" applyBorder="1" applyAlignment="1">
      <alignment horizontal="center" vertical="center"/>
    </xf>
    <xf numFmtId="3" fontId="18" fillId="0" borderId="8" xfId="3" applyNumberFormat="1" applyFont="1" applyBorder="1" applyAlignment="1">
      <alignment horizontal="center" vertical="center"/>
    </xf>
    <xf numFmtId="3" fontId="18" fillId="0" borderId="7" xfId="8" applyNumberFormat="1" applyFont="1" applyBorder="1" applyAlignment="1">
      <alignment horizontal="center" vertical="center"/>
    </xf>
    <xf numFmtId="3" fontId="18" fillId="0" borderId="0" xfId="8" applyNumberFormat="1" applyFont="1" applyBorder="1" applyAlignment="1">
      <alignment horizontal="center" vertical="center"/>
    </xf>
    <xf numFmtId="3" fontId="18" fillId="0" borderId="8" xfId="8" applyNumberFormat="1" applyFont="1" applyBorder="1" applyAlignment="1">
      <alignment horizontal="center" vertical="center"/>
    </xf>
    <xf numFmtId="0" fontId="51" fillId="2" borderId="0" xfId="0" applyFont="1" applyFill="1"/>
    <xf numFmtId="0" fontId="15" fillId="0" borderId="0" xfId="3" applyFont="1" applyAlignment="1">
      <alignment horizontal="center"/>
    </xf>
    <xf numFmtId="0" fontId="52" fillId="0" borderId="0" xfId="0" applyFont="1"/>
    <xf numFmtId="164" fontId="35" fillId="12" borderId="57" xfId="1" applyNumberFormat="1" applyFont="1" applyFill="1" applyBorder="1" applyAlignment="1">
      <alignment horizontal="center" wrapText="1"/>
    </xf>
    <xf numFmtId="164" fontId="35" fillId="11" borderId="58" xfId="1" applyNumberFormat="1" applyFont="1" applyFill="1" applyBorder="1" applyAlignment="1">
      <alignment horizontal="center" wrapText="1"/>
    </xf>
    <xf numFmtId="164" fontId="35" fillId="2" borderId="58" xfId="1" applyNumberFormat="1" applyFont="1" applyFill="1" applyBorder="1" applyAlignment="1">
      <alignment horizontal="center" wrapText="1"/>
    </xf>
    <xf numFmtId="164" fontId="35" fillId="13" borderId="58" xfId="1" applyNumberFormat="1" applyFont="1" applyFill="1" applyBorder="1" applyAlignment="1">
      <alignment horizontal="center" wrapText="1"/>
    </xf>
    <xf numFmtId="164" fontId="35" fillId="14" borderId="58" xfId="1" applyNumberFormat="1" applyFont="1" applyFill="1" applyBorder="1" applyAlignment="1">
      <alignment horizontal="center" wrapText="1"/>
    </xf>
    <xf numFmtId="0" fontId="35" fillId="15" borderId="58" xfId="0" applyFont="1" applyFill="1" applyBorder="1" applyAlignment="1">
      <alignment horizontal="center" wrapText="1"/>
    </xf>
    <xf numFmtId="0" fontId="35" fillId="9" borderId="34" xfId="0" applyFont="1" applyFill="1" applyBorder="1" applyAlignment="1">
      <alignment horizontal="center" wrapText="1"/>
    </xf>
    <xf numFmtId="0" fontId="35" fillId="0" borderId="4" xfId="0" applyFont="1" applyBorder="1"/>
    <xf numFmtId="0" fontId="35" fillId="0" borderId="60" xfId="0" applyFont="1" applyBorder="1" applyAlignment="1">
      <alignment horizontal="center"/>
    </xf>
    <xf numFmtId="0" fontId="35" fillId="0" borderId="61" xfId="0" applyFont="1" applyBorder="1" applyAlignment="1">
      <alignment horizontal="center"/>
    </xf>
    <xf numFmtId="0" fontId="35" fillId="0" borderId="62" xfId="0" applyFont="1" applyBorder="1" applyAlignment="1">
      <alignment horizontal="center"/>
    </xf>
    <xf numFmtId="0" fontId="33" fillId="0" borderId="64" xfId="0" applyFont="1" applyBorder="1" applyAlignment="1">
      <alignment horizontal="center"/>
    </xf>
    <xf numFmtId="0" fontId="33" fillId="0" borderId="65" xfId="0" applyFont="1" applyBorder="1" applyAlignment="1">
      <alignment horizontal="center"/>
    </xf>
    <xf numFmtId="166" fontId="33" fillId="0" borderId="75" xfId="7" applyNumberFormat="1" applyFont="1" applyBorder="1" applyAlignment="1">
      <alignment horizontal="center"/>
    </xf>
    <xf numFmtId="166" fontId="33" fillId="0" borderId="76" xfId="7" applyNumberFormat="1" applyFont="1" applyBorder="1" applyAlignment="1">
      <alignment horizontal="center"/>
    </xf>
    <xf numFmtId="166" fontId="53" fillId="0" borderId="76" xfId="7" applyNumberFormat="1" applyFont="1" applyBorder="1" applyAlignment="1">
      <alignment horizontal="center"/>
    </xf>
    <xf numFmtId="166" fontId="33" fillId="0" borderId="77" xfId="7" applyNumberFormat="1" applyFont="1" applyBorder="1" applyAlignment="1">
      <alignment horizontal="center"/>
    </xf>
    <xf numFmtId="0" fontId="33" fillId="0" borderId="4" xfId="0" applyFont="1" applyBorder="1"/>
    <xf numFmtId="0" fontId="33" fillId="0" borderId="61" xfId="0" applyFont="1" applyBorder="1" applyAlignment="1">
      <alignment horizontal="center"/>
    </xf>
    <xf numFmtId="0" fontId="33" fillId="0" borderId="62" xfId="0" applyFont="1" applyBorder="1" applyAlignment="1">
      <alignment horizontal="center"/>
    </xf>
    <xf numFmtId="166" fontId="53" fillId="0" borderId="75" xfId="7" applyNumberFormat="1" applyFont="1" applyBorder="1" applyAlignment="1">
      <alignment horizontal="center"/>
    </xf>
    <xf numFmtId="166" fontId="53" fillId="0" borderId="77" xfId="7" applyNumberFormat="1" applyFont="1" applyBorder="1" applyAlignment="1">
      <alignment horizontal="center"/>
    </xf>
    <xf numFmtId="166" fontId="33" fillId="0" borderId="45" xfId="7" applyNumberFormat="1" applyFont="1" applyBorder="1" applyAlignment="1">
      <alignment horizontal="center"/>
    </xf>
    <xf numFmtId="166" fontId="33" fillId="0" borderId="39" xfId="7" applyNumberFormat="1" applyFont="1" applyBorder="1" applyAlignment="1">
      <alignment horizontal="center"/>
    </xf>
    <xf numFmtId="166" fontId="53" fillId="0" borderId="39" xfId="7" applyNumberFormat="1" applyFont="1" applyBorder="1" applyAlignment="1">
      <alignment horizontal="center"/>
    </xf>
    <xf numFmtId="166" fontId="53" fillId="0" borderId="49" xfId="7" applyNumberFormat="1" applyFont="1" applyBorder="1" applyAlignment="1">
      <alignment horizontal="center"/>
    </xf>
    <xf numFmtId="0" fontId="33" fillId="0" borderId="4" xfId="0" applyFont="1" applyBorder="1" applyAlignment="1">
      <alignment horizontal="center"/>
    </xf>
    <xf numFmtId="171" fontId="33" fillId="0" borderId="9" xfId="0" applyNumberFormat="1" applyFont="1" applyBorder="1" applyAlignment="1">
      <alignment horizontal="right"/>
    </xf>
    <xf numFmtId="0" fontId="33" fillId="4" borderId="4" xfId="0" applyFont="1" applyFill="1" applyBorder="1"/>
    <xf numFmtId="0" fontId="33" fillId="4" borderId="60" xfId="0" applyFont="1" applyFill="1" applyBorder="1" applyAlignment="1">
      <alignment horizontal="center"/>
    </xf>
    <xf numFmtId="0" fontId="33" fillId="4" borderId="61" xfId="0" applyFont="1" applyFill="1" applyBorder="1" applyAlignment="1">
      <alignment horizontal="center"/>
    </xf>
    <xf numFmtId="0" fontId="33" fillId="4" borderId="62" xfId="0" applyFont="1" applyFill="1" applyBorder="1" applyAlignment="1">
      <alignment horizontal="center"/>
    </xf>
    <xf numFmtId="0" fontId="40" fillId="0" borderId="0" xfId="0" applyFont="1" applyAlignment="1">
      <alignment horizontal="center"/>
    </xf>
    <xf numFmtId="165" fontId="15" fillId="0" borderId="1" xfId="2" applyNumberFormat="1" applyFont="1" applyBorder="1"/>
    <xf numFmtId="165" fontId="15" fillId="0" borderId="0" xfId="2" applyNumberFormat="1" applyFont="1" applyBorder="1"/>
    <xf numFmtId="6" fontId="15" fillId="5" borderId="0" xfId="3" applyNumberFormat="1" applyFont="1" applyFill="1" applyBorder="1" applyAlignment="1">
      <alignment horizontal="center" vertical="center"/>
    </xf>
    <xf numFmtId="6" fontId="15" fillId="3" borderId="0" xfId="2" applyNumberFormat="1" applyFont="1" applyFill="1" applyBorder="1" applyAlignment="1">
      <alignment horizontal="center" vertical="center"/>
    </xf>
    <xf numFmtId="6" fontId="15" fillId="5" borderId="8" xfId="3" applyNumberFormat="1" applyFont="1" applyFill="1" applyBorder="1" applyAlignment="1">
      <alignment horizontal="center" vertical="center"/>
    </xf>
    <xf numFmtId="165" fontId="18" fillId="0" borderId="1" xfId="2" applyNumberFormat="1" applyFont="1" applyBorder="1"/>
    <xf numFmtId="165" fontId="18" fillId="0" borderId="0" xfId="2" applyNumberFormat="1" applyFont="1" applyBorder="1"/>
    <xf numFmtId="171" fontId="18" fillId="0" borderId="0" xfId="2" applyNumberFormat="1" applyFont="1" applyBorder="1"/>
    <xf numFmtId="171" fontId="18" fillId="3" borderId="0" xfId="2" applyNumberFormat="1" applyFont="1" applyFill="1" applyBorder="1"/>
    <xf numFmtId="171" fontId="18" fillId="5" borderId="0" xfId="3" applyNumberFormat="1" applyFont="1" applyFill="1" applyBorder="1" applyAlignment="1">
      <alignment horizontal="center" vertical="center"/>
    </xf>
    <xf numFmtId="166" fontId="15" fillId="0" borderId="0" xfId="7" applyNumberFormat="1" applyFont="1" applyBorder="1" applyProtection="1">
      <protection locked="0"/>
    </xf>
    <xf numFmtId="166" fontId="15" fillId="5" borderId="0" xfId="7" applyNumberFormat="1" applyFont="1" applyFill="1" applyBorder="1" applyAlignment="1">
      <alignment horizontal="center" vertical="center"/>
    </xf>
    <xf numFmtId="172" fontId="18" fillId="0" borderId="0" xfId="1" applyNumberFormat="1" applyFont="1" applyBorder="1" applyProtection="1">
      <protection locked="0"/>
    </xf>
    <xf numFmtId="172" fontId="18" fillId="3" borderId="0" xfId="1" applyNumberFormat="1" applyFont="1" applyFill="1" applyBorder="1"/>
    <xf numFmtId="172" fontId="18" fillId="0" borderId="0" xfId="7" applyNumberFormat="1" applyFont="1" applyBorder="1" applyProtection="1">
      <protection locked="0"/>
    </xf>
    <xf numFmtId="172" fontId="18" fillId="5" borderId="0" xfId="3" applyNumberFormat="1" applyFont="1" applyFill="1" applyBorder="1" applyAlignment="1">
      <alignment horizontal="center" vertical="center"/>
    </xf>
    <xf numFmtId="2" fontId="18" fillId="0" borderId="0" xfId="1" applyNumberFormat="1" applyFont="1" applyBorder="1" applyProtection="1">
      <protection locked="0"/>
    </xf>
    <xf numFmtId="2" fontId="18" fillId="3" borderId="0" xfId="1" applyNumberFormat="1" applyFont="1" applyFill="1" applyBorder="1"/>
    <xf numFmtId="2" fontId="18" fillId="0" borderId="0" xfId="7" applyNumberFormat="1" applyFont="1" applyBorder="1" applyProtection="1">
      <protection locked="0"/>
    </xf>
    <xf numFmtId="2" fontId="18" fillId="5" borderId="0" xfId="3" applyNumberFormat="1" applyFont="1" applyFill="1" applyBorder="1" applyAlignment="1">
      <alignment horizontal="center" vertical="center"/>
    </xf>
    <xf numFmtId="0" fontId="18" fillId="3" borderId="7" xfId="3" applyNumberFormat="1" applyFont="1" applyFill="1" applyBorder="1" applyAlignment="1" applyProtection="1">
      <alignment horizontal="left"/>
      <protection locked="0"/>
    </xf>
    <xf numFmtId="6" fontId="18" fillId="3" borderId="8" xfId="1" applyNumberFormat="1" applyFont="1" applyFill="1" applyBorder="1" applyAlignment="1">
      <alignment horizontal="center" vertical="center"/>
    </xf>
    <xf numFmtId="164" fontId="15" fillId="0" borderId="1" xfId="1" applyNumberFormat="1" applyFont="1" applyBorder="1" applyAlignment="1" applyProtection="1">
      <alignment horizontal="center"/>
      <protection locked="0"/>
    </xf>
    <xf numFmtId="164" fontId="15" fillId="3" borderId="0" xfId="1" applyNumberFormat="1" applyFont="1" applyFill="1" applyBorder="1" applyAlignment="1" applyProtection="1">
      <alignment horizontal="center"/>
      <protection locked="0"/>
    </xf>
    <xf numFmtId="164" fontId="15" fillId="0" borderId="0" xfId="1" applyNumberFormat="1" applyFont="1" applyBorder="1" applyAlignment="1" applyProtection="1">
      <alignment horizontal="center"/>
      <protection locked="0"/>
    </xf>
    <xf numFmtId="6" fontId="15" fillId="5" borderId="0" xfId="1" applyNumberFormat="1" applyFont="1" applyFill="1" applyBorder="1" applyAlignment="1">
      <alignment horizontal="center" vertical="center"/>
    </xf>
    <xf numFmtId="6" fontId="15" fillId="3" borderId="0" xfId="1" applyNumberFormat="1" applyFont="1" applyFill="1" applyBorder="1" applyAlignment="1">
      <alignment horizontal="center" vertical="center"/>
    </xf>
    <xf numFmtId="6" fontId="15" fillId="5" borderId="8" xfId="1" applyNumberFormat="1" applyFont="1" applyFill="1" applyBorder="1" applyAlignment="1">
      <alignment horizontal="center" vertical="center"/>
    </xf>
    <xf numFmtId="166" fontId="18" fillId="0" borderId="1" xfId="7" applyNumberFormat="1" applyFont="1" applyBorder="1" applyProtection="1">
      <protection locked="0"/>
    </xf>
    <xf numFmtId="171" fontId="18" fillId="0" borderId="0" xfId="1" applyNumberFormat="1" applyFont="1" applyBorder="1" applyProtection="1">
      <protection locked="0"/>
    </xf>
    <xf numFmtId="166" fontId="18" fillId="0" borderId="0" xfId="7" applyNumberFormat="1" applyFont="1" applyBorder="1" applyProtection="1">
      <protection locked="0"/>
    </xf>
    <xf numFmtId="10" fontId="18" fillId="0" borderId="0" xfId="7" applyNumberFormat="1" applyFont="1" applyBorder="1" applyProtection="1">
      <protection locked="0"/>
    </xf>
    <xf numFmtId="171" fontId="15" fillId="0" borderId="2" xfId="1" applyNumberFormat="1" applyFont="1" applyBorder="1" applyProtection="1">
      <protection locked="0"/>
    </xf>
    <xf numFmtId="164" fontId="15" fillId="0" borderId="2" xfId="1" applyNumberFormat="1" applyFont="1" applyFill="1" applyBorder="1" applyProtection="1">
      <protection locked="0"/>
    </xf>
    <xf numFmtId="10" fontId="15" fillId="0" borderId="2" xfId="7" applyNumberFormat="1" applyFont="1" applyBorder="1" applyProtection="1">
      <protection locked="0"/>
    </xf>
    <xf numFmtId="0" fontId="15" fillId="0" borderId="7" xfId="3" applyFont="1" applyBorder="1"/>
    <xf numFmtId="0" fontId="15" fillId="0" borderId="8" xfId="3" applyFont="1" applyBorder="1"/>
    <xf numFmtId="166" fontId="15" fillId="0" borderId="9" xfId="7" applyNumberFormat="1" applyFont="1" applyBorder="1" applyAlignment="1">
      <alignment horizontal="center"/>
    </xf>
    <xf numFmtId="166" fontId="15" fillId="0" borderId="2" xfId="7" applyNumberFormat="1" applyFont="1" applyBorder="1" applyAlignment="1">
      <alignment horizontal="center"/>
    </xf>
    <xf numFmtId="166" fontId="15" fillId="0" borderId="10" xfId="7" applyNumberFormat="1" applyFont="1" applyBorder="1" applyAlignment="1">
      <alignment horizontal="center"/>
    </xf>
    <xf numFmtId="0" fontId="15" fillId="0" borderId="0" xfId="3" applyFont="1" applyAlignment="1">
      <alignment horizontal="center"/>
    </xf>
    <xf numFmtId="9" fontId="18" fillId="0" borderId="0" xfId="8" applyFont="1" applyFill="1" applyBorder="1" applyProtection="1">
      <protection locked="0"/>
    </xf>
    <xf numFmtId="0" fontId="15" fillId="0" borderId="36" xfId="3" applyFont="1" applyBorder="1" applyAlignment="1">
      <alignment horizontal="center" wrapText="1"/>
    </xf>
    <xf numFmtId="10" fontId="18" fillId="0" borderId="21" xfId="7" applyNumberFormat="1" applyFont="1" applyBorder="1" applyAlignment="1">
      <alignment horizontal="center"/>
    </xf>
    <xf numFmtId="10" fontId="15" fillId="0" borderId="21" xfId="7" applyNumberFormat="1" applyFont="1" applyBorder="1" applyAlignment="1">
      <alignment horizontal="center"/>
    </xf>
    <xf numFmtId="166" fontId="18" fillId="0" borderId="21" xfId="7" applyNumberFormat="1" applyFont="1" applyBorder="1" applyAlignment="1">
      <alignment horizontal="center"/>
    </xf>
    <xf numFmtId="0" fontId="15" fillId="0" borderId="21" xfId="3" applyFont="1" applyFill="1" applyBorder="1"/>
    <xf numFmtId="166" fontId="15" fillId="0" borderId="21" xfId="7" applyNumberFormat="1" applyFont="1" applyBorder="1" applyAlignment="1">
      <alignment horizontal="center"/>
    </xf>
    <xf numFmtId="43" fontId="15" fillId="0" borderId="21" xfId="1" applyFont="1" applyBorder="1"/>
    <xf numFmtId="0" fontId="18" fillId="0" borderId="21" xfId="3" applyFont="1" applyBorder="1"/>
    <xf numFmtId="166" fontId="15" fillId="0" borderId="21" xfId="7" applyNumberFormat="1" applyFont="1" applyBorder="1"/>
    <xf numFmtId="166" fontId="15" fillId="0" borderId="21" xfId="8" applyNumberFormat="1" applyFont="1" applyBorder="1" applyAlignment="1">
      <alignment horizontal="center"/>
    </xf>
    <xf numFmtId="10" fontId="18" fillId="11" borderId="21" xfId="7" applyNumberFormat="1" applyFont="1" applyFill="1" applyBorder="1" applyAlignment="1">
      <alignment horizontal="center"/>
    </xf>
    <xf numFmtId="166" fontId="15" fillId="11" borderId="21" xfId="7" applyNumberFormat="1" applyFont="1" applyFill="1" applyBorder="1" applyAlignment="1">
      <alignment horizontal="center"/>
    </xf>
    <xf numFmtId="0" fontId="15" fillId="11" borderId="21" xfId="3" applyFont="1" applyFill="1" applyBorder="1"/>
    <xf numFmtId="175" fontId="34" fillId="0" borderId="0" xfId="8" applyNumberFormat="1" applyFont="1"/>
    <xf numFmtId="176" fontId="34" fillId="0" borderId="0" xfId="1" applyNumberFormat="1" applyFont="1"/>
    <xf numFmtId="177" fontId="33" fillId="0" borderId="0" xfId="8" applyNumberFormat="1" applyFont="1"/>
    <xf numFmtId="177" fontId="33" fillId="0" borderId="0" xfId="0" applyNumberFormat="1" applyFont="1"/>
    <xf numFmtId="0" fontId="33" fillId="0" borderId="23" xfId="0" applyFont="1" applyBorder="1" applyAlignment="1">
      <alignment horizontal="center"/>
    </xf>
    <xf numFmtId="6" fontId="18" fillId="10" borderId="8" xfId="1" applyNumberFormat="1" applyFont="1" applyFill="1" applyBorder="1" applyAlignment="1">
      <alignment horizontal="center" vertical="center"/>
    </xf>
    <xf numFmtId="6" fontId="15" fillId="10" borderId="10" xfId="1" applyNumberFormat="1" applyFont="1" applyFill="1" applyBorder="1" applyAlignment="1">
      <alignment horizontal="center" vertical="center"/>
    </xf>
    <xf numFmtId="166" fontId="15" fillId="10" borderId="10" xfId="8" applyNumberFormat="1" applyFont="1" applyFill="1" applyBorder="1" applyAlignment="1">
      <alignment horizontal="center" vertical="center"/>
    </xf>
    <xf numFmtId="169" fontId="15" fillId="10" borderId="10" xfId="1" applyNumberFormat="1" applyFont="1" applyFill="1" applyBorder="1" applyAlignment="1">
      <alignment horizontal="center" vertical="center"/>
    </xf>
    <xf numFmtId="169" fontId="15" fillId="10" borderId="8" xfId="1" applyNumberFormat="1" applyFont="1" applyFill="1" applyBorder="1" applyAlignment="1">
      <alignment horizontal="center" vertical="center"/>
    </xf>
    <xf numFmtId="38" fontId="18" fillId="10" borderId="8" xfId="3" applyNumberFormat="1" applyFont="1" applyFill="1" applyBorder="1" applyAlignment="1">
      <alignment horizontal="center" vertical="center"/>
    </xf>
    <xf numFmtId="8" fontId="18" fillId="10" borderId="8" xfId="3" applyNumberFormat="1" applyFont="1" applyFill="1" applyBorder="1" applyAlignment="1">
      <alignment horizontal="center" vertical="center"/>
    </xf>
    <xf numFmtId="166" fontId="15" fillId="10" borderId="0" xfId="7" applyNumberFormat="1" applyFont="1" applyFill="1" applyBorder="1" applyAlignment="1">
      <alignment horizontal="center" vertical="center"/>
    </xf>
    <xf numFmtId="166" fontId="15" fillId="9" borderId="10" xfId="8" applyNumberFormat="1" applyFont="1" applyFill="1" applyBorder="1" applyAlignment="1">
      <alignment horizontal="center" vertical="center"/>
    </xf>
    <xf numFmtId="6" fontId="18" fillId="9" borderId="8" xfId="1" applyNumberFormat="1" applyFont="1" applyFill="1" applyBorder="1" applyAlignment="1">
      <alignment horizontal="center" vertical="center"/>
    </xf>
    <xf numFmtId="0" fontId="15" fillId="0" borderId="0" xfId="3" applyFont="1" applyAlignment="1">
      <alignment horizontal="center"/>
    </xf>
    <xf numFmtId="9" fontId="34" fillId="0" borderId="0" xfId="8" applyFont="1" applyAlignment="1">
      <alignment horizontal="center"/>
    </xf>
    <xf numFmtId="10" fontId="34" fillId="0" borderId="7" xfId="8" applyNumberFormat="1" applyFont="1" applyBorder="1"/>
    <xf numFmtId="9" fontId="34" fillId="0" borderId="0" xfId="8" applyFont="1" applyBorder="1" applyAlignment="1">
      <alignment horizontal="center"/>
    </xf>
    <xf numFmtId="9" fontId="34" fillId="0" borderId="2" xfId="8" applyFont="1" applyBorder="1" applyAlignment="1">
      <alignment horizontal="center"/>
    </xf>
    <xf numFmtId="171" fontId="34" fillId="0" borderId="7" xfId="2" applyNumberFormat="1" applyFont="1" applyBorder="1"/>
    <xf numFmtId="9" fontId="34" fillId="0" borderId="8" xfId="8" applyFont="1" applyBorder="1" applyAlignment="1">
      <alignment horizontal="center"/>
    </xf>
    <xf numFmtId="9" fontId="34" fillId="0" borderId="10" xfId="8" applyFont="1" applyBorder="1" applyAlignment="1">
      <alignment horizontal="center"/>
    </xf>
    <xf numFmtId="165" fontId="33" fillId="0" borderId="0" xfId="0" applyNumberFormat="1" applyFont="1" applyBorder="1" applyAlignment="1">
      <alignment horizontal="center"/>
    </xf>
    <xf numFmtId="171" fontId="34" fillId="0" borderId="7" xfId="0" applyNumberFormat="1" applyFont="1" applyBorder="1"/>
    <xf numFmtId="44" fontId="34" fillId="0" borderId="7" xfId="0" applyNumberFormat="1" applyFont="1" applyBorder="1"/>
    <xf numFmtId="165" fontId="33" fillId="0" borderId="7" xfId="0" applyNumberFormat="1" applyFont="1" applyBorder="1"/>
    <xf numFmtId="9" fontId="34" fillId="0" borderId="0" xfId="8" applyNumberFormat="1" applyFont="1" applyBorder="1"/>
    <xf numFmtId="9" fontId="34" fillId="0" borderId="0" xfId="8" applyNumberFormat="1" applyFont="1" applyBorder="1" applyAlignment="1">
      <alignment horizontal="right"/>
    </xf>
    <xf numFmtId="9" fontId="34" fillId="0" borderId="0" xfId="0" applyNumberFormat="1" applyFont="1" applyBorder="1" applyAlignment="1">
      <alignment horizontal="center"/>
    </xf>
    <xf numFmtId="165" fontId="34" fillId="0" borderId="8" xfId="2" applyNumberFormat="1" applyFont="1" applyBorder="1"/>
    <xf numFmtId="165" fontId="33" fillId="0" borderId="8" xfId="2" applyNumberFormat="1" applyFont="1" applyBorder="1" applyAlignment="1">
      <alignment horizontal="center"/>
    </xf>
    <xf numFmtId="165" fontId="34" fillId="0" borderId="3" xfId="2" applyNumberFormat="1" applyFont="1" applyBorder="1" applyAlignment="1">
      <alignment horizontal="center"/>
    </xf>
    <xf numFmtId="0" fontId="34" fillId="0" borderId="3" xfId="0" applyFont="1" applyBorder="1" applyAlignment="1">
      <alignment horizontal="center"/>
    </xf>
    <xf numFmtId="165" fontId="34" fillId="0" borderId="12" xfId="2" applyNumberFormat="1" applyFont="1" applyBorder="1"/>
    <xf numFmtId="166" fontId="34" fillId="0" borderId="0" xfId="8" applyNumberFormat="1" applyFont="1" applyFill="1"/>
    <xf numFmtId="165" fontId="34" fillId="0" borderId="0" xfId="0" applyNumberFormat="1" applyFont="1" applyFill="1"/>
    <xf numFmtId="44" fontId="33" fillId="0" borderId="0" xfId="2" applyFont="1" applyFill="1"/>
    <xf numFmtId="0" fontId="33" fillId="0" borderId="0" xfId="0" applyFont="1" applyFill="1"/>
    <xf numFmtId="171" fontId="34" fillId="0" borderId="21" xfId="4" applyNumberFormat="1" applyFont="1" applyBorder="1" applyAlignment="1">
      <alignment horizontal="center"/>
    </xf>
    <xf numFmtId="171" fontId="34" fillId="0" borderId="80" xfId="4" applyNumberFormat="1" applyFont="1" applyBorder="1" applyAlignment="1">
      <alignment horizontal="center"/>
    </xf>
    <xf numFmtId="166" fontId="34" fillId="0" borderId="7" xfId="8" applyNumberFormat="1" applyFont="1" applyBorder="1"/>
    <xf numFmtId="44" fontId="15" fillId="0" borderId="0" xfId="3" applyNumberFormat="1" applyFont="1"/>
    <xf numFmtId="0" fontId="15" fillId="0" borderId="0" xfId="3" applyFont="1" applyAlignment="1">
      <alignment horizontal="center"/>
    </xf>
    <xf numFmtId="165" fontId="15" fillId="3" borderId="0" xfId="101" applyNumberFormat="1" applyFont="1" applyFill="1" applyBorder="1"/>
    <xf numFmtId="165" fontId="18" fillId="0" borderId="1" xfId="101" applyNumberFormat="1" applyFont="1" applyBorder="1" applyProtection="1">
      <protection locked="0"/>
    </xf>
    <xf numFmtId="165" fontId="18" fillId="3" borderId="0" xfId="101" applyNumberFormat="1" applyFont="1" applyFill="1" applyBorder="1" applyProtection="1">
      <protection locked="0"/>
    </xf>
    <xf numFmtId="165" fontId="18" fillId="0" borderId="7" xfId="101" applyNumberFormat="1" applyFont="1" applyBorder="1" applyProtection="1">
      <protection locked="0"/>
    </xf>
    <xf numFmtId="165" fontId="18" fillId="0" borderId="0" xfId="101" applyNumberFormat="1" applyFont="1" applyBorder="1" applyProtection="1">
      <protection locked="0"/>
    </xf>
    <xf numFmtId="165" fontId="18" fillId="0" borderId="8" xfId="101" applyNumberFormat="1" applyFont="1" applyBorder="1" applyProtection="1">
      <protection locked="0"/>
    </xf>
    <xf numFmtId="165" fontId="18" fillId="0" borderId="7" xfId="101" applyNumberFormat="1" applyFont="1" applyBorder="1"/>
    <xf numFmtId="165" fontId="18" fillId="0" borderId="0" xfId="101" applyNumberFormat="1" applyFont="1" applyBorder="1"/>
    <xf numFmtId="165" fontId="18" fillId="0" borderId="8" xfId="101" applyNumberFormat="1" applyFont="1" applyBorder="1"/>
    <xf numFmtId="165" fontId="18" fillId="0" borderId="16" xfId="101" applyNumberFormat="1" applyFont="1" applyBorder="1" applyProtection="1">
      <protection locked="0"/>
    </xf>
    <xf numFmtId="165" fontId="18" fillId="3" borderId="3" xfId="101" applyNumberFormat="1" applyFont="1" applyFill="1" applyBorder="1" applyProtection="1">
      <protection locked="0"/>
    </xf>
    <xf numFmtId="165" fontId="18" fillId="0" borderId="3" xfId="101" applyNumberFormat="1" applyFont="1" applyBorder="1" applyProtection="1">
      <protection locked="0"/>
    </xf>
    <xf numFmtId="165" fontId="18" fillId="0" borderId="12" xfId="101" applyNumberFormat="1" applyFont="1" applyBorder="1" applyProtection="1">
      <protection locked="0"/>
    </xf>
    <xf numFmtId="165" fontId="15" fillId="0" borderId="15" xfId="101" applyNumberFormat="1" applyFont="1" applyBorder="1" applyProtection="1">
      <protection locked="0"/>
    </xf>
    <xf numFmtId="165" fontId="15" fillId="3" borderId="2" xfId="101" applyNumberFormat="1" applyFont="1" applyFill="1" applyBorder="1" applyProtection="1">
      <protection locked="0"/>
    </xf>
    <xf numFmtId="165" fontId="15" fillId="0" borderId="2" xfId="101" applyNumberFormat="1" applyFont="1" applyBorder="1" applyProtection="1">
      <protection locked="0"/>
    </xf>
    <xf numFmtId="165" fontId="15" fillId="0" borderId="14" xfId="101" applyNumberFormat="1" applyFont="1" applyBorder="1" applyAlignment="1" applyProtection="1">
      <alignment horizontal="center"/>
      <protection locked="0"/>
    </xf>
    <xf numFmtId="165" fontId="15" fillId="3" borderId="5" xfId="101" applyNumberFormat="1" applyFont="1" applyFill="1" applyBorder="1"/>
    <xf numFmtId="165" fontId="15" fillId="0" borderId="5" xfId="101" applyNumberFormat="1" applyFont="1" applyBorder="1" applyAlignment="1" applyProtection="1">
      <alignment horizontal="center"/>
      <protection locked="0"/>
    </xf>
    <xf numFmtId="165" fontId="15" fillId="0" borderId="5" xfId="101" applyNumberFormat="1" applyFont="1" applyBorder="1" applyAlignment="1">
      <alignment horizontal="center"/>
    </xf>
    <xf numFmtId="165" fontId="15" fillId="0" borderId="4" xfId="101" applyNumberFormat="1" applyFont="1" applyBorder="1" applyAlignment="1">
      <alignment horizontal="center"/>
    </xf>
    <xf numFmtId="165" fontId="15" fillId="0" borderId="6" xfId="101" applyNumberFormat="1" applyFont="1" applyBorder="1" applyAlignment="1">
      <alignment horizontal="center"/>
    </xf>
    <xf numFmtId="0" fontId="15" fillId="0" borderId="9" xfId="3" applyFont="1" applyFill="1" applyBorder="1" applyAlignment="1">
      <alignment horizontal="left"/>
    </xf>
    <xf numFmtId="0" fontId="18" fillId="0" borderId="0" xfId="0" applyFont="1"/>
    <xf numFmtId="0" fontId="18" fillId="2" borderId="0" xfId="0" applyFont="1" applyFill="1"/>
    <xf numFmtId="166" fontId="18" fillId="2" borderId="0" xfId="7" applyNumberFormat="1" applyFont="1" applyFill="1"/>
    <xf numFmtId="0" fontId="18" fillId="0" borderId="2" xfId="0" applyFont="1" applyBorder="1"/>
    <xf numFmtId="0" fontId="15" fillId="0" borderId="2" xfId="0" applyFont="1" applyBorder="1" applyAlignment="1">
      <alignment horizontal="center"/>
    </xf>
    <xf numFmtId="0" fontId="16" fillId="19" borderId="0" xfId="0" applyFont="1" applyFill="1"/>
    <xf numFmtId="0" fontId="18" fillId="19" borderId="0" xfId="0" applyFont="1" applyFill="1"/>
    <xf numFmtId="165" fontId="18" fillId="0" borderId="0" xfId="102" applyNumberFormat="1" applyFont="1"/>
    <xf numFmtId="0" fontId="18" fillId="0" borderId="0" xfId="0" applyFont="1" applyFill="1"/>
    <xf numFmtId="165" fontId="18" fillId="0" borderId="0" xfId="102" applyNumberFormat="1" applyFont="1" applyFill="1"/>
    <xf numFmtId="165" fontId="18" fillId="19" borderId="0" xfId="102" applyNumberFormat="1" applyFont="1" applyFill="1"/>
    <xf numFmtId="44" fontId="18" fillId="0" borderId="0" xfId="0" applyNumberFormat="1" applyFont="1"/>
    <xf numFmtId="165" fontId="18" fillId="0" borderId="0" xfId="0" applyNumberFormat="1" applyFont="1"/>
    <xf numFmtId="9" fontId="18" fillId="19" borderId="0" xfId="7" applyFont="1" applyFill="1"/>
    <xf numFmtId="0" fontId="18" fillId="18" borderId="0" xfId="0" applyFont="1" applyFill="1"/>
    <xf numFmtId="165" fontId="18" fillId="18" borderId="0" xfId="102" applyNumberFormat="1" applyFont="1" applyFill="1"/>
    <xf numFmtId="0" fontId="18" fillId="0" borderId="3" xfId="0" applyFont="1" applyBorder="1"/>
    <xf numFmtId="165" fontId="18" fillId="0" borderId="3" xfId="102" applyNumberFormat="1" applyFont="1" applyBorder="1"/>
    <xf numFmtId="0" fontId="15" fillId="0" borderId="0" xfId="0" applyFont="1"/>
    <xf numFmtId="165" fontId="15" fillId="0" borderId="0" xfId="102" applyNumberFormat="1" applyFont="1"/>
    <xf numFmtId="0" fontId="18" fillId="0" borderId="0" xfId="0" applyFont="1" applyAlignment="1">
      <alignment horizontal="right"/>
    </xf>
    <xf numFmtId="0" fontId="16" fillId="0" borderId="0" xfId="0" applyFont="1" applyAlignment="1">
      <alignment horizontal="center"/>
    </xf>
    <xf numFmtId="0" fontId="18" fillId="0" borderId="0" xfId="103" applyFont="1" applyFill="1"/>
    <xf numFmtId="0" fontId="18" fillId="0" borderId="2" xfId="103" applyFont="1" applyFill="1" applyBorder="1"/>
    <xf numFmtId="0" fontId="15" fillId="0" borderId="2" xfId="103" applyFont="1" applyFill="1" applyBorder="1" applyAlignment="1">
      <alignment horizontal="center"/>
    </xf>
    <xf numFmtId="0" fontId="15" fillId="0" borderId="0" xfId="103" applyFont="1" applyFill="1"/>
    <xf numFmtId="171" fontId="18" fillId="0" borderId="0" xfId="103" applyNumberFormat="1" applyFont="1" applyFill="1"/>
    <xf numFmtId="0" fontId="18" fillId="0" borderId="0" xfId="103" applyFont="1" applyFill="1" applyBorder="1"/>
    <xf numFmtId="0" fontId="18" fillId="0" borderId="3" xfId="103" applyFont="1" applyFill="1" applyBorder="1"/>
    <xf numFmtId="171" fontId="18" fillId="0" borderId="3" xfId="103" applyNumberFormat="1" applyFont="1" applyFill="1" applyBorder="1"/>
    <xf numFmtId="0" fontId="18" fillId="0" borderId="82" xfId="103" applyFont="1" applyFill="1" applyBorder="1"/>
    <xf numFmtId="171" fontId="18" fillId="0" borderId="82" xfId="103" applyNumberFormat="1" applyFont="1" applyFill="1" applyBorder="1"/>
    <xf numFmtId="0" fontId="15" fillId="0" borderId="0" xfId="103" applyFont="1" applyFill="1" applyAlignment="1">
      <alignment horizontal="left"/>
    </xf>
    <xf numFmtId="171" fontId="15" fillId="0" borderId="0" xfId="103" applyNumberFormat="1" applyFont="1" applyFill="1"/>
    <xf numFmtId="10" fontId="25" fillId="0" borderId="0" xfId="36" applyNumberFormat="1" applyFont="1" applyFill="1"/>
    <xf numFmtId="0" fontId="34" fillId="2" borderId="0" xfId="0" applyFont="1" applyFill="1" applyAlignment="1">
      <alignment horizontal="center"/>
    </xf>
    <xf numFmtId="166" fontId="34" fillId="0" borderId="0" xfId="7" applyNumberFormat="1" applyFont="1"/>
    <xf numFmtId="0" fontId="36" fillId="0" borderId="2" xfId="0" applyFont="1" applyBorder="1"/>
    <xf numFmtId="0" fontId="33" fillId="0" borderId="2" xfId="0" applyFont="1" applyBorder="1" applyAlignment="1">
      <alignment horizontal="center"/>
    </xf>
    <xf numFmtId="0" fontId="42" fillId="0" borderId="5" xfId="0" applyFont="1" applyBorder="1"/>
    <xf numFmtId="165" fontId="43" fillId="0" borderId="0" xfId="102" applyNumberFormat="1" applyFont="1" applyBorder="1"/>
    <xf numFmtId="165" fontId="34" fillId="0" borderId="0" xfId="102" applyNumberFormat="1" applyFont="1"/>
    <xf numFmtId="0" fontId="42" fillId="0" borderId="0" xfId="0" applyFont="1" applyBorder="1"/>
    <xf numFmtId="0" fontId="42" fillId="0" borderId="3" xfId="0" applyFont="1" applyBorder="1"/>
    <xf numFmtId="0" fontId="34" fillId="0" borderId="3" xfId="0" applyFont="1" applyBorder="1"/>
    <xf numFmtId="165" fontId="43" fillId="0" borderId="3" xfId="102" applyNumberFormat="1" applyFont="1" applyBorder="1"/>
    <xf numFmtId="165" fontId="34" fillId="0" borderId="3" xfId="102" applyNumberFormat="1" applyFont="1" applyBorder="1"/>
    <xf numFmtId="165" fontId="33" fillId="0" borderId="0" xfId="0" applyNumberFormat="1" applyFont="1"/>
    <xf numFmtId="165" fontId="33" fillId="0" borderId="0" xfId="102" applyNumberFormat="1" applyFont="1" applyFill="1"/>
    <xf numFmtId="0" fontId="34" fillId="16" borderId="0" xfId="0" applyFont="1" applyFill="1"/>
    <xf numFmtId="165" fontId="34" fillId="16" borderId="0" xfId="102" applyNumberFormat="1" applyFont="1" applyFill="1"/>
    <xf numFmtId="0" fontId="36" fillId="0" borderId="0" xfId="0" applyFont="1" applyBorder="1"/>
    <xf numFmtId="0" fontId="43" fillId="0" borderId="0" xfId="0" applyFont="1" applyFill="1" applyBorder="1" applyAlignment="1">
      <alignment horizontal="left"/>
    </xf>
    <xf numFmtId="165" fontId="34" fillId="0" borderId="0" xfId="102" applyNumberFormat="1" applyFont="1" applyFill="1"/>
    <xf numFmtId="0" fontId="43" fillId="0" borderId="0" xfId="0" applyFont="1" applyFill="1" applyAlignment="1">
      <alignment horizontal="left"/>
    </xf>
    <xf numFmtId="165" fontId="34" fillId="0" borderId="0" xfId="102" applyNumberFormat="1" applyFont="1" applyFill="1" applyBorder="1"/>
    <xf numFmtId="0" fontId="43" fillId="0" borderId="3" xfId="0" applyFont="1" applyFill="1" applyBorder="1" applyAlignment="1">
      <alignment horizontal="left"/>
    </xf>
    <xf numFmtId="0" fontId="34" fillId="0" borderId="3" xfId="0" applyFont="1" applyFill="1" applyBorder="1"/>
    <xf numFmtId="165" fontId="34" fillId="0" borderId="3" xfId="102" applyNumberFormat="1" applyFont="1" applyFill="1" applyBorder="1"/>
    <xf numFmtId="165" fontId="33" fillId="0" borderId="0" xfId="102" applyNumberFormat="1" applyFont="1"/>
    <xf numFmtId="0" fontId="43" fillId="0" borderId="0" xfId="0" applyFont="1" applyAlignment="1">
      <alignment horizontal="left"/>
    </xf>
    <xf numFmtId="0" fontId="42" fillId="0" borderId="0" xfId="104" applyFont="1"/>
    <xf numFmtId="0" fontId="43" fillId="0" borderId="0" xfId="104" applyFont="1"/>
    <xf numFmtId="0" fontId="42" fillId="0" borderId="4" xfId="104" applyFont="1" applyBorder="1"/>
    <xf numFmtId="0" fontId="43" fillId="0" borderId="4" xfId="104" applyFont="1" applyBorder="1" applyAlignment="1">
      <alignment horizontal="center"/>
    </xf>
    <xf numFmtId="0" fontId="43" fillId="0" borderId="5" xfId="104" applyFont="1" applyBorder="1" applyAlignment="1">
      <alignment horizontal="center"/>
    </xf>
    <xf numFmtId="0" fontId="43" fillId="0" borderId="6" xfId="104" applyFont="1" applyBorder="1" applyAlignment="1">
      <alignment horizontal="center"/>
    </xf>
    <xf numFmtId="0" fontId="42" fillId="0" borderId="7" xfId="104" applyFont="1" applyBorder="1"/>
    <xf numFmtId="165" fontId="43" fillId="0" borderId="7" xfId="105" applyNumberFormat="1" applyFont="1" applyBorder="1"/>
    <xf numFmtId="165" fontId="43" fillId="0" borderId="0" xfId="105" applyNumberFormat="1" applyFont="1" applyBorder="1"/>
    <xf numFmtId="165" fontId="43" fillId="0" borderId="8" xfId="105" applyNumberFormat="1" applyFont="1" applyBorder="1"/>
    <xf numFmtId="165" fontId="43" fillId="0" borderId="0" xfId="105" applyNumberFormat="1" applyFont="1" applyFill="1" applyBorder="1"/>
    <xf numFmtId="165" fontId="43" fillId="0" borderId="0" xfId="105" applyNumberFormat="1" applyFont="1"/>
    <xf numFmtId="0" fontId="42" fillId="0" borderId="11" xfId="104" applyFont="1" applyBorder="1"/>
    <xf numFmtId="165" fontId="43" fillId="0" borderId="11" xfId="105" applyNumberFormat="1" applyFont="1" applyBorder="1"/>
    <xf numFmtId="165" fontId="43" fillId="0" borderId="3" xfId="105" applyNumberFormat="1" applyFont="1" applyBorder="1"/>
    <xf numFmtId="165" fontId="43" fillId="0" borderId="12" xfId="105" applyNumberFormat="1" applyFont="1" applyBorder="1"/>
    <xf numFmtId="0" fontId="43" fillId="0" borderId="3" xfId="104" applyFont="1" applyBorder="1"/>
    <xf numFmtId="0" fontId="42" fillId="0" borderId="9" xfId="104" applyFont="1" applyBorder="1"/>
    <xf numFmtId="165" fontId="43" fillId="0" borderId="9" xfId="104" applyNumberFormat="1" applyFont="1" applyBorder="1"/>
    <xf numFmtId="165" fontId="43" fillId="0" borderId="2" xfId="104" applyNumberFormat="1" applyFont="1" applyBorder="1"/>
    <xf numFmtId="165" fontId="43" fillId="0" borderId="10" xfId="104" applyNumberFormat="1" applyFont="1" applyBorder="1"/>
    <xf numFmtId="10" fontId="43" fillId="0" borderId="0" xfId="106" applyNumberFormat="1" applyFont="1"/>
    <xf numFmtId="0" fontId="54" fillId="0" borderId="0" xfId="104" applyFont="1" applyAlignment="1">
      <alignment horizontal="right"/>
    </xf>
    <xf numFmtId="0" fontId="43" fillId="0" borderId="0" xfId="104" applyFont="1" applyAlignment="1">
      <alignment horizontal="right"/>
    </xf>
    <xf numFmtId="0" fontId="43" fillId="0" borderId="3" xfId="104" applyFont="1" applyBorder="1" applyAlignment="1">
      <alignment horizontal="right"/>
    </xf>
    <xf numFmtId="0" fontId="42" fillId="14" borderId="0" xfId="104" applyFont="1" applyFill="1"/>
    <xf numFmtId="0" fontId="42" fillId="14" borderId="0" xfId="104" applyFont="1" applyFill="1" applyAlignment="1">
      <alignment horizontal="right"/>
    </xf>
    <xf numFmtId="165" fontId="42" fillId="14" borderId="0" xfId="104" applyNumberFormat="1" applyFont="1" applyFill="1"/>
    <xf numFmtId="0" fontId="43" fillId="2" borderId="0" xfId="104" applyFont="1" applyFill="1"/>
    <xf numFmtId="0" fontId="43" fillId="2" borderId="0" xfId="104" applyFont="1" applyFill="1" applyAlignment="1">
      <alignment horizontal="right"/>
    </xf>
    <xf numFmtId="165" fontId="42" fillId="0" borderId="0" xfId="104" applyNumberFormat="1" applyFont="1"/>
    <xf numFmtId="0" fontId="18" fillId="0" borderId="0" xfId="0" applyFont="1" applyAlignment="1">
      <alignment horizontal="center"/>
    </xf>
    <xf numFmtId="0" fontId="15" fillId="0" borderId="2" xfId="0" applyFont="1" applyBorder="1" applyAlignment="1">
      <alignment horizontal="center" wrapText="1"/>
    </xf>
    <xf numFmtId="0" fontId="15" fillId="0" borderId="20" xfId="0" applyFont="1" applyBorder="1" applyAlignment="1">
      <alignment horizontal="center" wrapText="1"/>
    </xf>
    <xf numFmtId="0" fontId="15" fillId="0" borderId="0" xfId="0" applyFont="1" applyAlignment="1">
      <alignment horizontal="center" wrapText="1"/>
    </xf>
    <xf numFmtId="0" fontId="18" fillId="0" borderId="21" xfId="0" applyFont="1" applyBorder="1"/>
    <xf numFmtId="171" fontId="15" fillId="0" borderId="0" xfId="0" applyNumberFormat="1" applyFont="1"/>
    <xf numFmtId="171" fontId="15" fillId="0" borderId="21" xfId="0" applyNumberFormat="1" applyFont="1" applyBorder="1"/>
    <xf numFmtId="166" fontId="15" fillId="0" borderId="0" xfId="7" applyNumberFormat="1" applyFont="1" applyAlignment="1">
      <alignment horizontal="center"/>
    </xf>
    <xf numFmtId="171" fontId="18" fillId="0" borderId="0" xfId="0" applyNumberFormat="1" applyFont="1"/>
    <xf numFmtId="171" fontId="18" fillId="0" borderId="21" xfId="0" applyNumberFormat="1" applyFont="1" applyBorder="1"/>
    <xf numFmtId="166" fontId="18" fillId="0" borderId="0" xfId="7" applyNumberFormat="1" applyFont="1" applyAlignment="1">
      <alignment horizontal="center"/>
    </xf>
    <xf numFmtId="8" fontId="18" fillId="0" borderId="0" xfId="7" applyNumberFormat="1" applyFont="1"/>
    <xf numFmtId="0" fontId="18" fillId="0" borderId="38" xfId="0" applyFont="1" applyBorder="1"/>
    <xf numFmtId="171" fontId="18" fillId="0" borderId="38" xfId="0" applyNumberFormat="1" applyFont="1" applyBorder="1"/>
    <xf numFmtId="171" fontId="18" fillId="0" borderId="52" xfId="0" applyNumberFormat="1" applyFont="1" applyBorder="1"/>
    <xf numFmtId="166" fontId="15" fillId="0" borderId="38" xfId="7" applyNumberFormat="1" applyFont="1" applyBorder="1" applyAlignment="1">
      <alignment horizontal="center"/>
    </xf>
    <xf numFmtId="0" fontId="18" fillId="0" borderId="38" xfId="0" applyFont="1" applyBorder="1" applyAlignment="1">
      <alignment horizontal="center"/>
    </xf>
    <xf numFmtId="166" fontId="15" fillId="0" borderId="0" xfId="7" applyNumberFormat="1" applyFont="1"/>
    <xf numFmtId="5" fontId="18" fillId="0" borderId="0" xfId="0" applyNumberFormat="1" applyFont="1"/>
    <xf numFmtId="0" fontId="18" fillId="0" borderId="0" xfId="0" applyFont="1" applyBorder="1"/>
    <xf numFmtId="166" fontId="18" fillId="0" borderId="0" xfId="7" applyNumberFormat="1" applyFont="1" applyBorder="1" applyAlignment="1">
      <alignment horizontal="center"/>
    </xf>
    <xf numFmtId="165" fontId="18" fillId="0" borderId="21" xfId="102" applyNumberFormat="1" applyFont="1" applyBorder="1"/>
    <xf numFmtId="0" fontId="18" fillId="3" borderId="0" xfId="0" applyFont="1" applyFill="1"/>
    <xf numFmtId="0" fontId="18" fillId="3" borderId="21" xfId="0" applyFont="1" applyFill="1" applyBorder="1"/>
    <xf numFmtId="0" fontId="18" fillId="3" borderId="0" xfId="0" applyFont="1" applyFill="1" applyAlignment="1">
      <alignment horizontal="center"/>
    </xf>
    <xf numFmtId="10" fontId="15" fillId="0" borderId="0" xfId="7" applyNumberFormat="1" applyFont="1"/>
    <xf numFmtId="5" fontId="18" fillId="0" borderId="21" xfId="0" applyNumberFormat="1" applyFont="1" applyBorder="1"/>
    <xf numFmtId="0" fontId="18" fillId="0" borderId="21" xfId="0" applyFont="1" applyFill="1" applyBorder="1"/>
    <xf numFmtId="0" fontId="15" fillId="14" borderId="4" xfId="0" applyFont="1" applyFill="1" applyBorder="1"/>
    <xf numFmtId="0" fontId="18" fillId="14" borderId="5" xfId="0" applyFont="1" applyFill="1" applyBorder="1"/>
    <xf numFmtId="171" fontId="15" fillId="14" borderId="5" xfId="0" applyNumberFormat="1" applyFont="1" applyFill="1" applyBorder="1"/>
    <xf numFmtId="171" fontId="15" fillId="14" borderId="36" xfId="0" applyNumberFormat="1" applyFont="1" applyFill="1" applyBorder="1"/>
    <xf numFmtId="166" fontId="15" fillId="14" borderId="5" xfId="7" applyNumberFormat="1" applyFont="1" applyFill="1" applyBorder="1" applyAlignment="1">
      <alignment horizontal="center"/>
    </xf>
    <xf numFmtId="166" fontId="15" fillId="14" borderId="6" xfId="7" applyNumberFormat="1" applyFont="1" applyFill="1" applyBorder="1" applyAlignment="1">
      <alignment horizontal="center"/>
    </xf>
    <xf numFmtId="166" fontId="15" fillId="14" borderId="4" xfId="7" applyNumberFormat="1" applyFont="1" applyFill="1" applyBorder="1" applyAlignment="1">
      <alignment horizontal="center"/>
    </xf>
    <xf numFmtId="0" fontId="18" fillId="14" borderId="7" xfId="0" applyFont="1" applyFill="1" applyBorder="1"/>
    <xf numFmtId="0" fontId="18" fillId="14" borderId="0" xfId="0" applyFont="1" applyFill="1" applyBorder="1"/>
    <xf numFmtId="171" fontId="18" fillId="14" borderId="0" xfId="0" applyNumberFormat="1" applyFont="1" applyFill="1" applyBorder="1"/>
    <xf numFmtId="171" fontId="18" fillId="14" borderId="21" xfId="0" applyNumberFormat="1" applyFont="1" applyFill="1" applyBorder="1"/>
    <xf numFmtId="166" fontId="18" fillId="14" borderId="0" xfId="7" applyNumberFormat="1" applyFont="1" applyFill="1" applyBorder="1" applyAlignment="1">
      <alignment horizontal="center"/>
    </xf>
    <xf numFmtId="166" fontId="18" fillId="14" borderId="8" xfId="7" applyNumberFormat="1" applyFont="1" applyFill="1" applyBorder="1" applyAlignment="1">
      <alignment horizontal="center"/>
    </xf>
    <xf numFmtId="166" fontId="18" fillId="14" borderId="7" xfId="7" applyNumberFormat="1" applyFont="1" applyFill="1" applyBorder="1" applyAlignment="1">
      <alignment horizontal="center"/>
    </xf>
    <xf numFmtId="0" fontId="18" fillId="14" borderId="9" xfId="0" applyFont="1" applyFill="1" applyBorder="1"/>
    <xf numFmtId="0" fontId="18" fillId="14" borderId="2" xfId="0" applyFont="1" applyFill="1" applyBorder="1"/>
    <xf numFmtId="171" fontId="18" fillId="14" borderId="2" xfId="0" applyNumberFormat="1" applyFont="1" applyFill="1" applyBorder="1"/>
    <xf numFmtId="171" fontId="18" fillId="14" borderId="22" xfId="0" applyNumberFormat="1" applyFont="1" applyFill="1" applyBorder="1"/>
    <xf numFmtId="166" fontId="18" fillId="14" borderId="2" xfId="7" applyNumberFormat="1" applyFont="1" applyFill="1" applyBorder="1" applyAlignment="1">
      <alignment horizontal="center"/>
    </xf>
    <xf numFmtId="166" fontId="18" fillId="14" borderId="10" xfId="7" applyNumberFormat="1" applyFont="1" applyFill="1" applyBorder="1" applyAlignment="1">
      <alignment horizontal="center"/>
    </xf>
    <xf numFmtId="166" fontId="18" fillId="14" borderId="9" xfId="7" applyNumberFormat="1" applyFont="1" applyFill="1" applyBorder="1" applyAlignment="1">
      <alignment horizontal="center"/>
    </xf>
    <xf numFmtId="9" fontId="18" fillId="0" borderId="0" xfId="7" applyFont="1"/>
    <xf numFmtId="0" fontId="15" fillId="0" borderId="5" xfId="0" applyFont="1" applyBorder="1" applyAlignment="1">
      <alignment horizontal="right"/>
    </xf>
    <xf numFmtId="0" fontId="18" fillId="0" borderId="5" xfId="0" applyFont="1" applyBorder="1"/>
    <xf numFmtId="0" fontId="18" fillId="0" borderId="6" xfId="0" applyFont="1" applyBorder="1"/>
    <xf numFmtId="0" fontId="18" fillId="0" borderId="0" xfId="0" applyFont="1" applyBorder="1" applyAlignment="1">
      <alignment horizontal="right"/>
    </xf>
    <xf numFmtId="171" fontId="18" fillId="0" borderId="0" xfId="0" applyNumberFormat="1" applyFont="1" applyBorder="1"/>
    <xf numFmtId="171" fontId="18" fillId="0" borderId="8" xfId="0" applyNumberFormat="1" applyFont="1" applyBorder="1"/>
    <xf numFmtId="172" fontId="18" fillId="0" borderId="0" xfId="0" applyNumberFormat="1" applyFont="1" applyAlignment="1">
      <alignment horizontal="center"/>
    </xf>
    <xf numFmtId="0" fontId="18" fillId="0" borderId="3" xfId="0" applyFont="1" applyBorder="1" applyAlignment="1">
      <alignment horizontal="right"/>
    </xf>
    <xf numFmtId="171" fontId="18" fillId="0" borderId="3" xfId="0" applyNumberFormat="1" applyFont="1" applyBorder="1"/>
    <xf numFmtId="171" fontId="18" fillId="0" borderId="12" xfId="0" applyNumberFormat="1" applyFont="1" applyBorder="1"/>
    <xf numFmtId="0" fontId="15" fillId="0" borderId="2" xfId="0" applyFont="1" applyBorder="1" applyAlignment="1">
      <alignment horizontal="right"/>
    </xf>
    <xf numFmtId="171" fontId="15" fillId="0" borderId="2" xfId="0" applyNumberFormat="1" applyFont="1" applyBorder="1"/>
    <xf numFmtId="171" fontId="15" fillId="0" borderId="10" xfId="0" applyNumberFormat="1" applyFont="1" applyBorder="1"/>
    <xf numFmtId="0" fontId="15" fillId="0" borderId="0" xfId="0" applyFont="1" applyBorder="1"/>
    <xf numFmtId="5" fontId="15" fillId="0" borderId="0" xfId="102" applyNumberFormat="1" applyFont="1" applyBorder="1"/>
    <xf numFmtId="5" fontId="15" fillId="0" borderId="8" xfId="102" applyNumberFormat="1" applyFont="1" applyBorder="1"/>
    <xf numFmtId="5" fontId="18" fillId="0" borderId="0" xfId="102" applyNumberFormat="1" applyFont="1" applyBorder="1"/>
    <xf numFmtId="5" fontId="18" fillId="0" borderId="8" xfId="102" applyNumberFormat="1" applyFont="1" applyBorder="1"/>
    <xf numFmtId="5" fontId="18" fillId="0" borderId="0" xfId="0" applyNumberFormat="1" applyFont="1" applyBorder="1"/>
    <xf numFmtId="5" fontId="18" fillId="0" borderId="8" xfId="0" applyNumberFormat="1" applyFont="1" applyBorder="1"/>
    <xf numFmtId="5" fontId="15" fillId="0" borderId="0" xfId="0" applyNumberFormat="1" applyFont="1" applyBorder="1"/>
    <xf numFmtId="5" fontId="15" fillId="0" borderId="8" xfId="0" applyNumberFormat="1" applyFont="1" applyBorder="1"/>
    <xf numFmtId="0" fontId="6" fillId="0" borderId="0" xfId="107"/>
    <xf numFmtId="165" fontId="56" fillId="20" borderId="0" xfId="108" applyNumberFormat="1" applyFont="1" applyFill="1" applyBorder="1"/>
    <xf numFmtId="165" fontId="56" fillId="20" borderId="8" xfId="108" applyNumberFormat="1" applyFont="1" applyFill="1" applyBorder="1"/>
    <xf numFmtId="165" fontId="56" fillId="20" borderId="4" xfId="108" applyNumberFormat="1" applyFont="1" applyFill="1" applyBorder="1"/>
    <xf numFmtId="165" fontId="56" fillId="20" borderId="5" xfId="108" applyNumberFormat="1" applyFont="1" applyFill="1" applyBorder="1"/>
    <xf numFmtId="165" fontId="56" fillId="20" borderId="7" xfId="108" applyNumberFormat="1" applyFont="1" applyFill="1" applyBorder="1"/>
    <xf numFmtId="165" fontId="55" fillId="20" borderId="0" xfId="108" applyNumberFormat="1" applyFont="1" applyFill="1" applyBorder="1"/>
    <xf numFmtId="165" fontId="55" fillId="20" borderId="8" xfId="108" applyNumberFormat="1" applyFont="1" applyFill="1" applyBorder="1"/>
    <xf numFmtId="165" fontId="55" fillId="20" borderId="7" xfId="108" applyNumberFormat="1" applyFont="1" applyFill="1" applyBorder="1"/>
    <xf numFmtId="165" fontId="55" fillId="20" borderId="2" xfId="108" applyNumberFormat="1" applyFont="1" applyFill="1" applyBorder="1"/>
    <xf numFmtId="165" fontId="55" fillId="20" borderId="10" xfId="108" applyNumberFormat="1" applyFont="1" applyFill="1" applyBorder="1"/>
    <xf numFmtId="165" fontId="55" fillId="20" borderId="9" xfId="108" applyNumberFormat="1" applyFont="1" applyFill="1" applyBorder="1"/>
    <xf numFmtId="165" fontId="0" fillId="0" borderId="0" xfId="101" applyNumberFormat="1" applyFont="1"/>
    <xf numFmtId="166" fontId="0" fillId="0" borderId="0" xfId="106" applyNumberFormat="1" applyFont="1"/>
    <xf numFmtId="0" fontId="43" fillId="0" borderId="0" xfId="104" applyFont="1" applyAlignment="1">
      <alignment horizontal="center"/>
    </xf>
    <xf numFmtId="0" fontId="42" fillId="0" borderId="0" xfId="104" applyFont="1" applyBorder="1"/>
    <xf numFmtId="0" fontId="43" fillId="0" borderId="0" xfId="104" applyFont="1" applyFill="1"/>
    <xf numFmtId="0" fontId="43" fillId="0" borderId="3" xfId="104" applyFont="1" applyFill="1" applyBorder="1"/>
    <xf numFmtId="10" fontId="34" fillId="0" borderId="0" xfId="8" applyNumberFormat="1" applyFont="1"/>
    <xf numFmtId="0" fontId="44" fillId="0" borderId="0" xfId="107" applyFont="1"/>
    <xf numFmtId="0" fontId="44" fillId="21" borderId="83" xfId="107" applyFont="1" applyFill="1" applyBorder="1" applyAlignment="1">
      <alignment horizontal="center"/>
    </xf>
    <xf numFmtId="0" fontId="44" fillId="21" borderId="84" xfId="107" applyFont="1" applyFill="1" applyBorder="1" applyAlignment="1">
      <alignment horizontal="center"/>
    </xf>
    <xf numFmtId="3" fontId="55" fillId="20" borderId="17" xfId="107" applyNumberFormat="1" applyFont="1" applyFill="1" applyBorder="1" applyAlignment="1">
      <alignment horizontal="center" wrapText="1"/>
    </xf>
    <xf numFmtId="3" fontId="55" fillId="20" borderId="18" xfId="107" applyNumberFormat="1" applyFont="1" applyFill="1" applyBorder="1" applyAlignment="1">
      <alignment horizontal="center" wrapText="1"/>
    </xf>
    <xf numFmtId="49" fontId="55" fillId="20" borderId="17" xfId="107" applyNumberFormat="1" applyFont="1" applyFill="1" applyBorder="1" applyAlignment="1">
      <alignment horizontal="center" wrapText="1"/>
    </xf>
    <xf numFmtId="3" fontId="55" fillId="20" borderId="19" xfId="107" applyNumberFormat="1" applyFont="1" applyFill="1" applyBorder="1" applyAlignment="1">
      <alignment horizontal="center" wrapText="1"/>
    </xf>
    <xf numFmtId="3" fontId="55" fillId="22" borderId="19" xfId="107" applyNumberFormat="1" applyFont="1" applyFill="1" applyBorder="1" applyAlignment="1">
      <alignment horizontal="center" wrapText="1"/>
    </xf>
    <xf numFmtId="3" fontId="55" fillId="20" borderId="7" xfId="107" applyNumberFormat="1" applyFont="1" applyFill="1" applyBorder="1"/>
    <xf numFmtId="165" fontId="6" fillId="23" borderId="6" xfId="107" applyNumberFormat="1" applyFont="1" applyFill="1" applyBorder="1"/>
    <xf numFmtId="3" fontId="56" fillId="20" borderId="7" xfId="107" applyNumberFormat="1" applyFont="1" applyFill="1" applyBorder="1"/>
    <xf numFmtId="165" fontId="6" fillId="23" borderId="8" xfId="107" applyNumberFormat="1" applyFont="1" applyFill="1" applyBorder="1"/>
    <xf numFmtId="3" fontId="58" fillId="20" borderId="7" xfId="107" applyNumberFormat="1" applyFont="1" applyFill="1" applyBorder="1"/>
    <xf numFmtId="165" fontId="44" fillId="23" borderId="8" xfId="107" applyNumberFormat="1" applyFont="1" applyFill="1" applyBorder="1"/>
    <xf numFmtId="3" fontId="55" fillId="20" borderId="9" xfId="107" applyNumberFormat="1" applyFont="1" applyFill="1" applyBorder="1"/>
    <xf numFmtId="165" fontId="44" fillId="23" borderId="10" xfId="107" applyNumberFormat="1" applyFont="1" applyFill="1" applyBorder="1"/>
    <xf numFmtId="166" fontId="18" fillId="0" borderId="38" xfId="7" applyNumberFormat="1" applyFont="1" applyBorder="1" applyAlignment="1">
      <alignment horizontal="center"/>
    </xf>
    <xf numFmtId="165" fontId="43" fillId="0" borderId="0" xfId="2" applyNumberFormat="1" applyFont="1" applyBorder="1"/>
    <xf numFmtId="165" fontId="43" fillId="0" borderId="8" xfId="2" applyNumberFormat="1" applyFont="1" applyBorder="1"/>
    <xf numFmtId="165" fontId="43" fillId="0" borderId="0" xfId="2" applyNumberFormat="1" applyFont="1"/>
    <xf numFmtId="165" fontId="43" fillId="0" borderId="3" xfId="2" applyNumberFormat="1" applyFont="1" applyBorder="1"/>
    <xf numFmtId="165" fontId="43" fillId="0" borderId="12" xfId="2" applyNumberFormat="1" applyFont="1" applyBorder="1"/>
    <xf numFmtId="165" fontId="43" fillId="0" borderId="2" xfId="2" applyNumberFormat="1" applyFont="1" applyBorder="1"/>
    <xf numFmtId="165" fontId="43" fillId="0" borderId="10" xfId="2" applyNumberFormat="1" applyFont="1" applyBorder="1"/>
    <xf numFmtId="165" fontId="18" fillId="0" borderId="1" xfId="101" applyNumberFormat="1" applyFont="1" applyBorder="1"/>
    <xf numFmtId="165" fontId="18" fillId="3" borderId="0" xfId="101" applyNumberFormat="1" applyFont="1" applyFill="1" applyBorder="1"/>
    <xf numFmtId="165" fontId="18" fillId="0" borderId="8" xfId="2" applyNumberFormat="1" applyFont="1" applyBorder="1"/>
    <xf numFmtId="10" fontId="18" fillId="0" borderId="7" xfId="8" applyNumberFormat="1" applyFont="1" applyBorder="1"/>
    <xf numFmtId="10" fontId="18" fillId="0" borderId="11" xfId="8" applyNumberFormat="1" applyFont="1" applyBorder="1"/>
    <xf numFmtId="165" fontId="18" fillId="3" borderId="0" xfId="101" applyNumberFormat="1" applyFont="1" applyFill="1" applyBorder="1" applyAlignment="1">
      <alignment horizontal="center"/>
    </xf>
    <xf numFmtId="166" fontId="18" fillId="0" borderId="0" xfId="8" applyNumberFormat="1" applyFont="1" applyBorder="1" applyAlignment="1" applyProtection="1">
      <alignment horizontal="center"/>
      <protection locked="0"/>
    </xf>
    <xf numFmtId="166" fontId="18" fillId="3" borderId="0" xfId="8" applyNumberFormat="1" applyFont="1" applyFill="1" applyBorder="1" applyAlignment="1" applyProtection="1">
      <alignment horizontal="center"/>
      <protection locked="0"/>
    </xf>
    <xf numFmtId="166" fontId="18" fillId="0" borderId="8" xfId="8" applyNumberFormat="1" applyFont="1" applyBorder="1" applyAlignment="1" applyProtection="1">
      <alignment horizontal="center"/>
      <protection locked="0"/>
    </xf>
    <xf numFmtId="165" fontId="15" fillId="0" borderId="15" xfId="2" applyNumberFormat="1" applyFont="1" applyBorder="1" applyProtection="1">
      <protection locked="0"/>
    </xf>
    <xf numFmtId="165" fontId="15" fillId="0" borderId="2" xfId="2" applyNumberFormat="1" applyFont="1" applyBorder="1" applyProtection="1">
      <protection locked="0"/>
    </xf>
    <xf numFmtId="165" fontId="15" fillId="0" borderId="2" xfId="2" applyNumberFormat="1" applyFont="1" applyBorder="1"/>
    <xf numFmtId="165" fontId="15" fillId="0" borderId="10" xfId="2" applyNumberFormat="1" applyFont="1" applyBorder="1"/>
    <xf numFmtId="166" fontId="15" fillId="0" borderId="9" xfId="8" applyNumberFormat="1" applyFont="1" applyBorder="1" applyAlignment="1" applyProtection="1">
      <alignment horizontal="center"/>
      <protection locked="0"/>
    </xf>
    <xf numFmtId="166" fontId="15" fillId="3" borderId="2" xfId="8" applyNumberFormat="1" applyFont="1" applyFill="1" applyBorder="1" applyAlignment="1" applyProtection="1">
      <alignment horizontal="center"/>
      <protection locked="0"/>
    </xf>
    <xf numFmtId="166" fontId="15" fillId="0" borderId="2" xfId="8" applyNumberFormat="1" applyFont="1" applyBorder="1" applyAlignment="1" applyProtection="1">
      <alignment horizontal="center"/>
      <protection locked="0"/>
    </xf>
    <xf numFmtId="166" fontId="15" fillId="0" borderId="10" xfId="8" applyNumberFormat="1" applyFont="1" applyBorder="1" applyAlignment="1" applyProtection="1">
      <alignment horizontal="center"/>
      <protection locked="0"/>
    </xf>
    <xf numFmtId="0" fontId="15" fillId="0" borderId="0" xfId="0" applyFont="1" applyFill="1"/>
    <xf numFmtId="0" fontId="15" fillId="0" borderId="0" xfId="3" applyFont="1" applyFill="1" applyBorder="1" applyAlignment="1">
      <alignment horizontal="left"/>
    </xf>
    <xf numFmtId="165" fontId="15" fillId="0" borderId="0" xfId="2" applyNumberFormat="1" applyFont="1" applyBorder="1" applyProtection="1">
      <protection locked="0"/>
    </xf>
    <xf numFmtId="165" fontId="15" fillId="0" borderId="0" xfId="2" applyNumberFormat="1" applyFont="1" applyFill="1" applyBorder="1" applyProtection="1">
      <protection locked="0"/>
    </xf>
    <xf numFmtId="165" fontId="15" fillId="0" borderId="0" xfId="101" applyNumberFormat="1" applyFont="1" applyFill="1" applyBorder="1" applyProtection="1">
      <protection locked="0"/>
    </xf>
    <xf numFmtId="166" fontId="15" fillId="0" borderId="0" xfId="8" applyNumberFormat="1" applyFont="1" applyFill="1" applyBorder="1" applyAlignment="1" applyProtection="1">
      <alignment horizontal="center"/>
      <protection locked="0"/>
    </xf>
    <xf numFmtId="165" fontId="18" fillId="0" borderId="3" xfId="2" applyNumberFormat="1" applyFont="1" applyBorder="1"/>
    <xf numFmtId="165" fontId="18" fillId="0" borderId="12" xfId="2" applyNumberFormat="1" applyFont="1" applyBorder="1"/>
    <xf numFmtId="165" fontId="18" fillId="0" borderId="7" xfId="101" applyNumberFormat="1" applyFont="1" applyBorder="1" applyAlignment="1">
      <alignment horizontal="center"/>
    </xf>
    <xf numFmtId="165" fontId="18" fillId="0" borderId="0" xfId="101" applyNumberFormat="1" applyFont="1" applyBorder="1" applyAlignment="1">
      <alignment horizontal="center"/>
    </xf>
    <xf numFmtId="165" fontId="18" fillId="0" borderId="8" xfId="101" applyNumberFormat="1" applyFont="1" applyBorder="1" applyAlignment="1">
      <alignment horizontal="center"/>
    </xf>
    <xf numFmtId="10" fontId="18" fillId="0" borderId="7" xfId="8" applyNumberFormat="1" applyFont="1" applyBorder="1" applyAlignment="1">
      <alignment horizontal="center"/>
    </xf>
    <xf numFmtId="165" fontId="18" fillId="3" borderId="0" xfId="101" applyNumberFormat="1" applyFont="1" applyFill="1" applyBorder="1" applyAlignment="1" applyProtection="1">
      <alignment horizontal="center"/>
      <protection locked="0"/>
    </xf>
    <xf numFmtId="165" fontId="18" fillId="0" borderId="7" xfId="101" applyNumberFormat="1" applyFont="1" applyBorder="1" applyAlignment="1" applyProtection="1">
      <alignment horizontal="center"/>
      <protection locked="0"/>
    </xf>
    <xf numFmtId="165" fontId="18" fillId="0" borderId="0" xfId="101" applyNumberFormat="1" applyFont="1" applyBorder="1" applyAlignment="1" applyProtection="1">
      <alignment horizontal="center"/>
      <protection locked="0"/>
    </xf>
    <xf numFmtId="165" fontId="18" fillId="0" borderId="8" xfId="101" applyNumberFormat="1" applyFont="1" applyBorder="1" applyAlignment="1" applyProtection="1">
      <alignment horizontal="center"/>
      <protection locked="0"/>
    </xf>
    <xf numFmtId="10" fontId="18" fillId="0" borderId="11" xfId="8" applyNumberFormat="1" applyFont="1" applyBorder="1" applyAlignment="1">
      <alignment horizontal="center"/>
    </xf>
    <xf numFmtId="165" fontId="18" fillId="3" borderId="3" xfId="101" applyNumberFormat="1" applyFont="1" applyFill="1" applyBorder="1" applyAlignment="1" applyProtection="1">
      <alignment horizontal="center"/>
      <protection locked="0"/>
    </xf>
    <xf numFmtId="166" fontId="18" fillId="0" borderId="3" xfId="8" applyNumberFormat="1" applyFont="1" applyBorder="1" applyAlignment="1" applyProtection="1">
      <alignment horizontal="center"/>
      <protection locked="0"/>
    </xf>
    <xf numFmtId="166" fontId="18" fillId="3" borderId="3" xfId="8" applyNumberFormat="1" applyFont="1" applyFill="1" applyBorder="1" applyAlignment="1" applyProtection="1">
      <alignment horizontal="center"/>
      <protection locked="0"/>
    </xf>
    <xf numFmtId="166" fontId="18" fillId="0" borderId="12" xfId="8" applyNumberFormat="1" applyFont="1" applyBorder="1" applyAlignment="1" applyProtection="1">
      <alignment horizontal="center"/>
      <protection locked="0"/>
    </xf>
    <xf numFmtId="165" fontId="18" fillId="0" borderId="16" xfId="2" applyNumberFormat="1" applyFont="1" applyBorder="1" applyProtection="1">
      <protection locked="0"/>
    </xf>
    <xf numFmtId="165" fontId="18" fillId="0" borderId="3" xfId="2" applyNumberFormat="1" applyFont="1" applyBorder="1" applyProtection="1">
      <protection locked="0"/>
    </xf>
    <xf numFmtId="166" fontId="18" fillId="3" borderId="0" xfId="8" applyNumberFormat="1" applyFont="1" applyFill="1" applyBorder="1" applyAlignment="1">
      <alignment horizontal="center"/>
    </xf>
    <xf numFmtId="166" fontId="18" fillId="0" borderId="7" xfId="8" applyNumberFormat="1" applyFont="1" applyBorder="1" applyAlignment="1" applyProtection="1">
      <alignment horizontal="center"/>
      <protection locked="0"/>
    </xf>
    <xf numFmtId="0" fontId="18" fillId="7" borderId="4" xfId="0" applyFont="1" applyFill="1" applyBorder="1"/>
    <xf numFmtId="0" fontId="18" fillId="7" borderId="5" xfId="0" applyFont="1" applyFill="1" applyBorder="1"/>
    <xf numFmtId="165" fontId="18" fillId="7" borderId="5" xfId="2" applyNumberFormat="1" applyFont="1" applyFill="1" applyBorder="1"/>
    <xf numFmtId="171" fontId="18" fillId="7" borderId="5" xfId="0" applyNumberFormat="1" applyFont="1" applyFill="1" applyBorder="1"/>
    <xf numFmtId="166" fontId="18" fillId="7" borderId="5" xfId="8" applyNumberFormat="1" applyFont="1" applyFill="1" applyBorder="1" applyAlignment="1">
      <alignment horizontal="center"/>
    </xf>
    <xf numFmtId="166" fontId="18" fillId="7" borderId="6" xfId="8" applyNumberFormat="1" applyFont="1" applyFill="1" applyBorder="1" applyAlignment="1">
      <alignment horizontal="center"/>
    </xf>
    <xf numFmtId="0" fontId="18" fillId="7" borderId="11" xfId="0" applyFont="1" applyFill="1" applyBorder="1"/>
    <xf numFmtId="0" fontId="18" fillId="7" borderId="3" xfId="0" applyFont="1" applyFill="1" applyBorder="1"/>
    <xf numFmtId="165" fontId="18" fillId="7" borderId="3" xfId="2" applyNumberFormat="1" applyFont="1" applyFill="1" applyBorder="1"/>
    <xf numFmtId="166" fontId="18" fillId="7" borderId="3" xfId="8" applyNumberFormat="1" applyFont="1" applyFill="1" applyBorder="1" applyAlignment="1">
      <alignment horizontal="center"/>
    </xf>
    <xf numFmtId="166" fontId="18" fillId="7" borderId="12" xfId="8" applyNumberFormat="1" applyFont="1" applyFill="1" applyBorder="1" applyAlignment="1">
      <alignment horizontal="center"/>
    </xf>
    <xf numFmtId="0" fontId="15" fillId="7" borderId="9" xfId="0" applyFont="1" applyFill="1" applyBorder="1"/>
    <xf numFmtId="0" fontId="15" fillId="7" borderId="2" xfId="0" applyFont="1" applyFill="1" applyBorder="1"/>
    <xf numFmtId="165" fontId="15" fillId="7" borderId="2" xfId="2" applyNumberFormat="1" applyFont="1" applyFill="1" applyBorder="1"/>
    <xf numFmtId="171" fontId="15" fillId="7" borderId="2" xfId="0" applyNumberFormat="1" applyFont="1" applyFill="1" applyBorder="1"/>
    <xf numFmtId="166" fontId="15" fillId="7" borderId="2" xfId="8" applyNumberFormat="1" applyFont="1" applyFill="1" applyBorder="1" applyAlignment="1">
      <alignment horizontal="center"/>
    </xf>
    <xf numFmtId="166" fontId="15" fillId="7" borderId="10" xfId="8" applyNumberFormat="1" applyFont="1" applyFill="1" applyBorder="1" applyAlignment="1">
      <alignment horizontal="center"/>
    </xf>
    <xf numFmtId="0" fontId="33" fillId="0" borderId="2" xfId="0" applyFont="1" applyBorder="1" applyAlignment="1">
      <alignment horizontal="center" wrapText="1"/>
    </xf>
    <xf numFmtId="0" fontId="18" fillId="11" borderId="0" xfId="0" applyFont="1" applyFill="1"/>
    <xf numFmtId="171" fontId="18" fillId="11" borderId="0" xfId="0" applyNumberFormat="1" applyFont="1" applyFill="1"/>
    <xf numFmtId="171" fontId="18" fillId="11" borderId="21" xfId="0" applyNumberFormat="1" applyFont="1" applyFill="1" applyBorder="1"/>
    <xf numFmtId="166" fontId="18" fillId="11" borderId="0" xfId="7" applyNumberFormat="1" applyFont="1" applyFill="1" applyAlignment="1">
      <alignment horizontal="center"/>
    </xf>
    <xf numFmtId="165" fontId="59" fillId="0" borderId="0" xfId="102" applyNumberFormat="1" applyFont="1" applyAlignment="1">
      <alignment horizontal="center"/>
    </xf>
    <xf numFmtId="49" fontId="59" fillId="0" borderId="0" xfId="102" applyNumberFormat="1" applyFont="1" applyAlignment="1">
      <alignment horizontal="center"/>
    </xf>
    <xf numFmtId="0" fontId="34" fillId="0" borderId="0" xfId="0" applyFont="1" applyFill="1" applyAlignment="1">
      <alignment horizontal="center"/>
    </xf>
    <xf numFmtId="165" fontId="34" fillId="16" borderId="0" xfId="102" applyNumberFormat="1" applyFont="1" applyFill="1" applyAlignment="1">
      <alignment horizontal="center"/>
    </xf>
    <xf numFmtId="165" fontId="15" fillId="0" borderId="0" xfId="101" applyNumberFormat="1" applyFont="1" applyFill="1" applyBorder="1" applyAlignment="1" applyProtection="1">
      <alignment horizontal="center"/>
      <protection locked="0"/>
    </xf>
    <xf numFmtId="165" fontId="15" fillId="0" borderId="0" xfId="2" applyNumberFormat="1" applyFont="1" applyFill="1" applyBorder="1" applyAlignment="1">
      <alignment horizontal="center"/>
    </xf>
    <xf numFmtId="165" fontId="15" fillId="0" borderId="0" xfId="2" applyNumberFormat="1" applyFont="1" applyFill="1" applyBorder="1" applyAlignment="1" applyProtection="1">
      <alignment horizontal="center"/>
      <protection locked="0"/>
    </xf>
    <xf numFmtId="165" fontId="18" fillId="0" borderId="0" xfId="101" applyNumberFormat="1" applyFont="1" applyFill="1" applyBorder="1" applyProtection="1">
      <protection locked="0"/>
    </xf>
    <xf numFmtId="165" fontId="18" fillId="0" borderId="0" xfId="2" applyNumberFormat="1" applyFont="1" applyFill="1" applyBorder="1"/>
    <xf numFmtId="165" fontId="18" fillId="24" borderId="0" xfId="101" applyNumberFormat="1" applyFont="1" applyFill="1" applyBorder="1" applyProtection="1">
      <protection locked="0"/>
    </xf>
    <xf numFmtId="165" fontId="18" fillId="24" borderId="0" xfId="2" applyNumberFormat="1" applyFont="1" applyFill="1" applyBorder="1"/>
    <xf numFmtId="0" fontId="60" fillId="0" borderId="0" xfId="110" applyFont="1"/>
    <xf numFmtId="0" fontId="44" fillId="0" borderId="2" xfId="110" applyFont="1" applyBorder="1" applyAlignment="1">
      <alignment horizontal="center" wrapText="1"/>
    </xf>
    <xf numFmtId="164" fontId="44" fillId="0" borderId="2" xfId="111" applyNumberFormat="1" applyFont="1" applyBorder="1" applyAlignment="1">
      <alignment horizontal="center" wrapText="1"/>
    </xf>
    <xf numFmtId="0" fontId="44" fillId="0" borderId="0" xfId="110" applyFont="1" applyAlignment="1">
      <alignment horizontal="center" wrapText="1"/>
    </xf>
    <xf numFmtId="165" fontId="44" fillId="0" borderId="0" xfId="110" applyNumberFormat="1" applyFont="1"/>
    <xf numFmtId="0" fontId="57" fillId="0" borderId="0" xfId="110" applyFont="1"/>
    <xf numFmtId="166" fontId="15" fillId="0" borderId="5" xfId="8" applyNumberFormat="1" applyFont="1" applyBorder="1" applyAlignment="1">
      <alignment horizontal="center"/>
    </xf>
    <xf numFmtId="0" fontId="61" fillId="0" borderId="0" xfId="0" applyFont="1"/>
    <xf numFmtId="0" fontId="62" fillId="0" borderId="0" xfId="0" applyFont="1"/>
    <xf numFmtId="0" fontId="63" fillId="0" borderId="0" xfId="0" applyFont="1"/>
    <xf numFmtId="178" fontId="0" fillId="0" borderId="0" xfId="0" applyNumberFormat="1"/>
    <xf numFmtId="0" fontId="0" fillId="0" borderId="0" xfId="0" applyAlignment="1">
      <alignment horizontal="center"/>
    </xf>
    <xf numFmtId="0" fontId="61" fillId="0" borderId="0" xfId="0" applyFont="1" applyAlignment="1">
      <alignment horizontal="center"/>
    </xf>
    <xf numFmtId="165" fontId="0" fillId="0" borderId="0" xfId="0" applyNumberFormat="1"/>
    <xf numFmtId="0" fontId="17" fillId="0" borderId="7" xfId="0" applyFont="1" applyBorder="1"/>
    <xf numFmtId="0" fontId="0" fillId="3" borderId="7" xfId="0" applyFill="1" applyBorder="1"/>
    <xf numFmtId="165" fontId="0" fillId="3" borderId="0" xfId="0" applyNumberFormat="1" applyFill="1" applyBorder="1"/>
    <xf numFmtId="0" fontId="0" fillId="3" borderId="8" xfId="0" applyFill="1" applyBorder="1"/>
    <xf numFmtId="0" fontId="17" fillId="0" borderId="11" xfId="0" applyFont="1" applyBorder="1"/>
    <xf numFmtId="0" fontId="61" fillId="0" borderId="7" xfId="0" applyFont="1" applyBorder="1"/>
    <xf numFmtId="0" fontId="61" fillId="0" borderId="9" xfId="0" applyFont="1" applyBorder="1"/>
    <xf numFmtId="165" fontId="0" fillId="0" borderId="40" xfId="0" applyNumberFormat="1" applyBorder="1"/>
    <xf numFmtId="165" fontId="0" fillId="3" borderId="40" xfId="0" applyNumberFormat="1" applyFill="1" applyBorder="1"/>
    <xf numFmtId="165" fontId="0" fillId="0" borderId="78" xfId="0" applyNumberFormat="1" applyBorder="1"/>
    <xf numFmtId="165" fontId="61" fillId="0" borderId="40" xfId="0" applyNumberFormat="1" applyFont="1" applyBorder="1"/>
    <xf numFmtId="165" fontId="61" fillId="0" borderId="59" xfId="0" applyNumberFormat="1" applyFont="1" applyBorder="1"/>
    <xf numFmtId="0" fontId="0" fillId="3" borderId="40" xfId="0" applyFill="1" applyBorder="1"/>
    <xf numFmtId="0" fontId="61" fillId="15" borderId="17" xfId="0" applyFont="1" applyFill="1" applyBorder="1" applyAlignment="1">
      <alignment horizontal="center"/>
    </xf>
    <xf numFmtId="0" fontId="61" fillId="15" borderId="74" xfId="0" applyFont="1" applyFill="1" applyBorder="1" applyAlignment="1">
      <alignment horizontal="center" wrapText="1"/>
    </xf>
    <xf numFmtId="0" fontId="61" fillId="15" borderId="19" xfId="0" applyFont="1" applyFill="1" applyBorder="1" applyAlignment="1">
      <alignment horizontal="center" wrapText="1"/>
    </xf>
    <xf numFmtId="166" fontId="0" fillId="0" borderId="40" xfId="8" applyNumberFormat="1" applyFont="1" applyBorder="1" applyAlignment="1">
      <alignment horizontal="center"/>
    </xf>
    <xf numFmtId="166" fontId="0" fillId="0" borderId="8" xfId="8" applyNumberFormat="1" applyFont="1" applyBorder="1" applyAlignment="1">
      <alignment horizontal="center"/>
    </xf>
    <xf numFmtId="166" fontId="0" fillId="3" borderId="40" xfId="8" applyNumberFormat="1" applyFont="1" applyFill="1" applyBorder="1" applyAlignment="1">
      <alignment horizontal="center"/>
    </xf>
    <xf numFmtId="166" fontId="0" fillId="3" borderId="8" xfId="8" applyNumberFormat="1" applyFont="1" applyFill="1" applyBorder="1" applyAlignment="1">
      <alignment horizontal="center"/>
    </xf>
    <xf numFmtId="166" fontId="0" fillId="0" borderId="78" xfId="8" applyNumberFormat="1" applyFont="1" applyBorder="1" applyAlignment="1">
      <alignment horizontal="center"/>
    </xf>
    <xf numFmtId="166" fontId="0" fillId="0" borderId="12" xfId="8" applyNumberFormat="1" applyFont="1" applyBorder="1" applyAlignment="1">
      <alignment horizontal="center"/>
    </xf>
    <xf numFmtId="166" fontId="61" fillId="0" borderId="40" xfId="8" applyNumberFormat="1" applyFont="1" applyBorder="1" applyAlignment="1">
      <alignment horizontal="center"/>
    </xf>
    <xf numFmtId="166" fontId="61" fillId="0" borderId="8" xfId="8" applyNumberFormat="1" applyFont="1" applyBorder="1" applyAlignment="1">
      <alignment horizontal="center"/>
    </xf>
    <xf numFmtId="166" fontId="61" fillId="0" borderId="59" xfId="8" applyNumberFormat="1" applyFont="1" applyBorder="1" applyAlignment="1">
      <alignment horizontal="center"/>
    </xf>
    <xf numFmtId="166" fontId="61" fillId="0" borderId="10" xfId="8" applyNumberFormat="1" applyFont="1" applyBorder="1" applyAlignment="1">
      <alignment horizontal="center"/>
    </xf>
    <xf numFmtId="0" fontId="61" fillId="3" borderId="18" xfId="0" applyFont="1" applyFill="1" applyBorder="1" applyAlignment="1">
      <alignment horizontal="center"/>
    </xf>
    <xf numFmtId="165" fontId="0" fillId="3" borderId="3" xfId="0" applyNumberFormat="1" applyFill="1" applyBorder="1"/>
    <xf numFmtId="165" fontId="61" fillId="3" borderId="0" xfId="0" applyNumberFormat="1" applyFont="1" applyFill="1" applyBorder="1"/>
    <xf numFmtId="165" fontId="61" fillId="3" borderId="2" xfId="0" applyNumberFormat="1" applyFont="1" applyFill="1" applyBorder="1"/>
    <xf numFmtId="0" fontId="34" fillId="9" borderId="0" xfId="0" applyFont="1" applyFill="1"/>
    <xf numFmtId="0" fontId="18" fillId="13" borderId="0" xfId="0" applyFont="1" applyFill="1"/>
    <xf numFmtId="165" fontId="18" fillId="13" borderId="0" xfId="102" applyNumberFormat="1" applyFont="1" applyFill="1"/>
    <xf numFmtId="165" fontId="59" fillId="0" borderId="0" xfId="102" applyNumberFormat="1" applyFont="1" applyBorder="1" applyAlignment="1">
      <alignment horizontal="center"/>
    </xf>
    <xf numFmtId="0" fontId="34" fillId="0" borderId="3" xfId="0" applyFont="1" applyFill="1" applyBorder="1" applyAlignment="1">
      <alignment horizontal="center"/>
    </xf>
    <xf numFmtId="0" fontId="45" fillId="0" borderId="0" xfId="38" applyFont="1" applyFill="1" applyBorder="1" applyAlignment="1">
      <alignment horizontal="center"/>
    </xf>
    <xf numFmtId="0" fontId="46" fillId="0" borderId="0" xfId="38" applyFont="1" applyFill="1" applyBorder="1" applyAlignment="1">
      <alignment horizontal="center"/>
    </xf>
    <xf numFmtId="0" fontId="34" fillId="0" borderId="0" xfId="0" applyFont="1" applyFill="1" applyBorder="1" applyAlignment="1">
      <alignment horizontal="center"/>
    </xf>
    <xf numFmtId="165" fontId="34" fillId="0" borderId="4" xfId="2" applyNumberFormat="1" applyFont="1" applyBorder="1"/>
    <xf numFmtId="8" fontId="34" fillId="0" borderId="5" xfId="0" applyNumberFormat="1" applyFont="1" applyBorder="1"/>
    <xf numFmtId="10" fontId="34" fillId="0" borderId="5" xfId="8" applyNumberFormat="1" applyFont="1" applyBorder="1"/>
    <xf numFmtId="165" fontId="34" fillId="0" borderId="7" xfId="2" applyNumberFormat="1" applyFont="1" applyBorder="1"/>
    <xf numFmtId="8" fontId="34" fillId="0" borderId="0" xfId="0" applyNumberFormat="1" applyFont="1" applyBorder="1"/>
    <xf numFmtId="165" fontId="34" fillId="0" borderId="9" xfId="2" applyNumberFormat="1" applyFont="1" applyBorder="1"/>
    <xf numFmtId="8" fontId="34" fillId="0" borderId="2" xfId="0" applyNumberFormat="1" applyFont="1" applyBorder="1"/>
    <xf numFmtId="165" fontId="34" fillId="0" borderId="11" xfId="2" applyNumberFormat="1" applyFont="1" applyBorder="1"/>
    <xf numFmtId="8" fontId="34" fillId="0" borderId="3" xfId="0" applyNumberFormat="1" applyFont="1" applyBorder="1"/>
    <xf numFmtId="10" fontId="34" fillId="0" borderId="3" xfId="8" applyNumberFormat="1" applyFont="1" applyBorder="1"/>
    <xf numFmtId="0" fontId="34" fillId="0" borderId="12" xfId="0" applyFont="1" applyBorder="1"/>
    <xf numFmtId="0" fontId="4" fillId="0" borderId="0" xfId="113"/>
    <xf numFmtId="0" fontId="4" fillId="0" borderId="0" xfId="113" applyBorder="1"/>
    <xf numFmtId="0" fontId="4" fillId="0" borderId="0" xfId="113" applyAlignment="1">
      <alignment horizontal="center"/>
    </xf>
    <xf numFmtId="0" fontId="44" fillId="0" borderId="0" xfId="113" applyFont="1" applyAlignment="1">
      <alignment horizontal="center"/>
    </xf>
    <xf numFmtId="0" fontId="44" fillId="0" borderId="0" xfId="113" applyFont="1" applyBorder="1" applyAlignment="1">
      <alignment horizontal="center"/>
    </xf>
    <xf numFmtId="0" fontId="44" fillId="0" borderId="4" xfId="113" applyFont="1" applyBorder="1"/>
    <xf numFmtId="166" fontId="44" fillId="0" borderId="5" xfId="114" applyNumberFormat="1" applyFont="1" applyBorder="1"/>
    <xf numFmtId="166" fontId="44" fillId="0" borderId="6" xfId="114" applyNumberFormat="1" applyFont="1" applyBorder="1"/>
    <xf numFmtId="0" fontId="44" fillId="0" borderId="0" xfId="113" applyFont="1"/>
    <xf numFmtId="0" fontId="4" fillId="0" borderId="7" xfId="113" applyBorder="1"/>
    <xf numFmtId="165" fontId="0" fillId="0" borderId="0" xfId="115" applyNumberFormat="1" applyFont="1" applyBorder="1"/>
    <xf numFmtId="165" fontId="0" fillId="0" borderId="8" xfId="115" applyNumberFormat="1" applyFont="1" applyBorder="1"/>
    <xf numFmtId="0" fontId="44" fillId="0" borderId="7" xfId="113" applyFont="1" applyBorder="1"/>
    <xf numFmtId="166" fontId="44" fillId="0" borderId="0" xfId="114" applyNumberFormat="1" applyFont="1" applyBorder="1"/>
    <xf numFmtId="166" fontId="44" fillId="0" borderId="8" xfId="114" applyNumberFormat="1" applyFont="1" applyBorder="1"/>
    <xf numFmtId="0" fontId="4" fillId="0" borderId="7" xfId="113" applyFont="1" applyBorder="1"/>
    <xf numFmtId="165" fontId="4" fillId="0" borderId="0" xfId="115" applyNumberFormat="1" applyFont="1" applyBorder="1"/>
    <xf numFmtId="165" fontId="4" fillId="0" borderId="8" xfId="115" applyNumberFormat="1" applyFont="1" applyBorder="1"/>
    <xf numFmtId="0" fontId="4" fillId="0" borderId="0" xfId="113" applyFont="1"/>
    <xf numFmtId="0" fontId="4" fillId="0" borderId="9" xfId="113" applyBorder="1"/>
    <xf numFmtId="165" fontId="0" fillId="0" borderId="2" xfId="115" applyNumberFormat="1" applyFont="1" applyBorder="1"/>
    <xf numFmtId="165" fontId="0" fillId="0" borderId="10" xfId="115" applyNumberFormat="1" applyFont="1" applyBorder="1"/>
    <xf numFmtId="165" fontId="44" fillId="0" borderId="0" xfId="115" applyNumberFormat="1" applyFont="1" applyBorder="1"/>
    <xf numFmtId="165" fontId="44" fillId="0" borderId="8" xfId="115" applyNumberFormat="1" applyFont="1" applyBorder="1"/>
    <xf numFmtId="0" fontId="44" fillId="0" borderId="9" xfId="113" applyFont="1" applyBorder="1"/>
    <xf numFmtId="165" fontId="44" fillId="0" borderId="2" xfId="115" applyNumberFormat="1" applyFont="1" applyBorder="1"/>
    <xf numFmtId="165" fontId="44" fillId="0" borderId="10" xfId="115" applyNumberFormat="1" applyFont="1" applyBorder="1"/>
    <xf numFmtId="165" fontId="4" fillId="0" borderId="0" xfId="113" applyNumberFormat="1" applyBorder="1"/>
    <xf numFmtId="165" fontId="4" fillId="0" borderId="8" xfId="113" applyNumberFormat="1" applyBorder="1"/>
    <xf numFmtId="0" fontId="4" fillId="0" borderId="8" xfId="113" applyBorder="1"/>
    <xf numFmtId="165" fontId="4" fillId="0" borderId="2" xfId="113" applyNumberFormat="1" applyBorder="1"/>
    <xf numFmtId="165" fontId="4" fillId="0" borderId="10" xfId="113" applyNumberFormat="1" applyBorder="1"/>
    <xf numFmtId="166" fontId="44" fillId="15" borderId="6" xfId="114" applyNumberFormat="1" applyFont="1" applyFill="1" applyBorder="1"/>
    <xf numFmtId="165" fontId="0" fillId="15" borderId="8" xfId="115" applyNumberFormat="1" applyFont="1" applyFill="1" applyBorder="1"/>
    <xf numFmtId="166" fontId="44" fillId="15" borderId="8" xfId="114" applyNumberFormat="1" applyFont="1" applyFill="1" applyBorder="1"/>
    <xf numFmtId="165" fontId="0" fillId="15" borderId="10" xfId="115" applyNumberFormat="1" applyFont="1" applyFill="1" applyBorder="1"/>
    <xf numFmtId="0" fontId="4" fillId="15" borderId="0" xfId="113" applyFill="1" applyBorder="1"/>
    <xf numFmtId="165" fontId="44" fillId="15" borderId="8" xfId="115" applyNumberFormat="1" applyFont="1" applyFill="1" applyBorder="1"/>
    <xf numFmtId="165" fontId="44" fillId="15" borderId="10" xfId="115" applyNumberFormat="1" applyFont="1" applyFill="1" applyBorder="1"/>
    <xf numFmtId="165" fontId="4" fillId="15" borderId="8" xfId="113" applyNumberFormat="1" applyFill="1" applyBorder="1"/>
    <xf numFmtId="0" fontId="4" fillId="15" borderId="8" xfId="113" applyFill="1" applyBorder="1"/>
    <xf numFmtId="165" fontId="4" fillId="15" borderId="10" xfId="113" applyNumberFormat="1" applyFill="1" applyBorder="1"/>
    <xf numFmtId="0" fontId="44" fillId="15" borderId="9" xfId="113" applyFont="1" applyFill="1" applyBorder="1" applyAlignment="1">
      <alignment horizontal="center"/>
    </xf>
    <xf numFmtId="0" fontId="44" fillId="15" borderId="10" xfId="113" applyFont="1" applyFill="1" applyBorder="1" applyAlignment="1">
      <alignment horizontal="center"/>
    </xf>
    <xf numFmtId="0" fontId="65" fillId="0" borderId="0" xfId="0" applyFont="1" applyFill="1" applyBorder="1" applyAlignment="1">
      <alignment horizontal="right"/>
    </xf>
    <xf numFmtId="165" fontId="65" fillId="0" borderId="0" xfId="0" applyNumberFormat="1" applyFont="1" applyFill="1" applyBorder="1"/>
    <xf numFmtId="0" fontId="34" fillId="0" borderId="0" xfId="0" applyFont="1" applyFill="1" applyBorder="1"/>
    <xf numFmtId="0" fontId="61" fillId="0" borderId="0" xfId="0" applyFont="1" applyAlignment="1">
      <alignment horizontal="right"/>
    </xf>
    <xf numFmtId="165" fontId="61" fillId="0" borderId="0" xfId="0" applyNumberFormat="1" applyFont="1"/>
    <xf numFmtId="166" fontId="61" fillId="0" borderId="0" xfId="8" applyNumberFormat="1" applyFont="1" applyAlignment="1">
      <alignment horizontal="center"/>
    </xf>
    <xf numFmtId="0" fontId="3" fillId="0" borderId="0" xfId="107" applyFont="1"/>
    <xf numFmtId="166" fontId="6" fillId="0" borderId="0" xfId="8" applyNumberFormat="1" applyFont="1"/>
    <xf numFmtId="0" fontId="6" fillId="0" borderId="0" xfId="107" applyAlignment="1">
      <alignment horizontal="center"/>
    </xf>
    <xf numFmtId="0" fontId="44" fillId="0" borderId="0" xfId="107" applyFont="1" applyAlignment="1">
      <alignment horizontal="center"/>
    </xf>
    <xf numFmtId="10" fontId="0" fillId="21" borderId="85" xfId="106" applyNumberFormat="1" applyFont="1" applyFill="1" applyBorder="1" applyAlignment="1">
      <alignment horizontal="center"/>
    </xf>
    <xf numFmtId="0" fontId="3" fillId="0" borderId="0" xfId="107" applyFont="1" applyAlignment="1">
      <alignment horizontal="center"/>
    </xf>
    <xf numFmtId="10" fontId="0" fillId="21" borderId="86" xfId="106" applyNumberFormat="1" applyFont="1" applyFill="1" applyBorder="1" applyAlignment="1">
      <alignment horizontal="center"/>
    </xf>
    <xf numFmtId="166" fontId="6" fillId="0" borderId="0" xfId="8" applyNumberFormat="1" applyFont="1" applyAlignment="1">
      <alignment horizontal="center"/>
    </xf>
    <xf numFmtId="166" fontId="44" fillId="0" borderId="0" xfId="8" applyNumberFormat="1" applyFont="1" applyAlignment="1">
      <alignment horizontal="center"/>
    </xf>
    <xf numFmtId="165" fontId="34" fillId="0" borderId="0" xfId="2" applyNumberFormat="1" applyFont="1"/>
    <xf numFmtId="165" fontId="34" fillId="2" borderId="0" xfId="2" applyNumberFormat="1" applyFont="1" applyFill="1"/>
    <xf numFmtId="0" fontId="44" fillId="2" borderId="0" xfId="107" applyFont="1" applyFill="1"/>
    <xf numFmtId="0" fontId="44" fillId="2" borderId="0" xfId="107" applyFont="1" applyFill="1" applyAlignment="1">
      <alignment horizontal="right"/>
    </xf>
    <xf numFmtId="165" fontId="44" fillId="2" borderId="0" xfId="107" applyNumberFormat="1" applyFont="1" applyFill="1"/>
    <xf numFmtId="49" fontId="55" fillId="20" borderId="18" xfId="107" applyNumberFormat="1" applyFont="1" applyFill="1" applyBorder="1" applyAlignment="1">
      <alignment horizontal="center" wrapText="1"/>
    </xf>
    <xf numFmtId="0" fontId="18" fillId="0" borderId="38" xfId="7" applyNumberFormat="1" applyFont="1" applyBorder="1" applyAlignment="1">
      <alignment horizontal="center"/>
    </xf>
    <xf numFmtId="166" fontId="18" fillId="0" borderId="0" xfId="8" applyNumberFormat="1" applyFont="1" applyAlignment="1">
      <alignment horizontal="center"/>
    </xf>
    <xf numFmtId="166" fontId="15" fillId="0" borderId="2" xfId="8" applyNumberFormat="1" applyFont="1" applyBorder="1" applyAlignment="1">
      <alignment horizontal="center" wrapText="1"/>
    </xf>
    <xf numFmtId="166" fontId="15" fillId="0" borderId="0" xfId="8" applyNumberFormat="1" applyFont="1" applyAlignment="1">
      <alignment horizontal="center"/>
    </xf>
    <xf numFmtId="166" fontId="18" fillId="0" borderId="38" xfId="8" applyNumberFormat="1" applyFont="1" applyBorder="1" applyAlignment="1">
      <alignment horizontal="center"/>
    </xf>
    <xf numFmtId="166" fontId="18" fillId="3" borderId="0" xfId="8" applyNumberFormat="1" applyFont="1" applyFill="1" applyAlignment="1">
      <alignment horizontal="center"/>
    </xf>
    <xf numFmtId="166" fontId="15" fillId="14" borderId="6" xfId="8" applyNumberFormat="1" applyFont="1" applyFill="1" applyBorder="1" applyAlignment="1">
      <alignment horizontal="center"/>
    </xf>
    <xf numFmtId="166" fontId="18" fillId="14" borderId="8" xfId="8" applyNumberFormat="1" applyFont="1" applyFill="1" applyBorder="1" applyAlignment="1">
      <alignment horizontal="center"/>
    </xf>
    <xf numFmtId="166" fontId="18" fillId="14" borderId="10" xfId="8" applyNumberFormat="1" applyFont="1" applyFill="1" applyBorder="1" applyAlignment="1">
      <alignment horizontal="center"/>
    </xf>
    <xf numFmtId="0" fontId="32" fillId="0" borderId="0" xfId="0" applyFont="1" applyAlignment="1">
      <alignment horizontal="right"/>
    </xf>
    <xf numFmtId="165" fontId="32" fillId="0" borderId="0" xfId="0" applyNumberFormat="1" applyFont="1"/>
    <xf numFmtId="165" fontId="18" fillId="0" borderId="0" xfId="2" applyNumberFormat="1" applyFont="1" applyAlignment="1">
      <alignment horizontal="center"/>
    </xf>
    <xf numFmtId="165" fontId="61" fillId="0" borderId="0" xfId="2" applyNumberFormat="1" applyFont="1"/>
    <xf numFmtId="166" fontId="61" fillId="0" borderId="0" xfId="7" applyNumberFormat="1" applyFont="1" applyAlignment="1">
      <alignment horizontal="center"/>
    </xf>
    <xf numFmtId="165" fontId="61" fillId="0" borderId="0" xfId="2" applyNumberFormat="1" applyFont="1" applyBorder="1" applyAlignment="1">
      <alignment horizontal="center"/>
    </xf>
    <xf numFmtId="165" fontId="0" fillId="0" borderId="0" xfId="2" applyNumberFormat="1" applyFont="1" applyBorder="1" applyAlignment="1">
      <alignment horizontal="center"/>
    </xf>
    <xf numFmtId="0" fontId="2" fillId="0" borderId="0" xfId="113" applyFont="1"/>
    <xf numFmtId="0" fontId="18" fillId="0" borderId="4" xfId="0" applyFont="1" applyBorder="1"/>
    <xf numFmtId="165" fontId="18" fillId="0" borderId="5" xfId="0" applyNumberFormat="1" applyFont="1" applyBorder="1"/>
    <xf numFmtId="179" fontId="18" fillId="0" borderId="7" xfId="2" applyNumberFormat="1" applyFont="1" applyBorder="1"/>
    <xf numFmtId="166" fontId="18" fillId="0" borderId="0" xfId="7" applyNumberFormat="1" applyFont="1" applyBorder="1"/>
    <xf numFmtId="44" fontId="18" fillId="0" borderId="0" xfId="0" applyNumberFormat="1" applyFont="1" applyBorder="1"/>
    <xf numFmtId="179" fontId="18" fillId="0" borderId="9" xfId="2" applyNumberFormat="1" applyFont="1" applyBorder="1"/>
    <xf numFmtId="44" fontId="18" fillId="0" borderId="2" xfId="0" applyNumberFormat="1" applyFont="1" applyBorder="1"/>
    <xf numFmtId="0" fontId="18" fillId="0" borderId="8" xfId="0" applyFont="1" applyBorder="1"/>
    <xf numFmtId="0" fontId="18" fillId="0" borderId="10" xfId="0" applyFont="1" applyBorder="1"/>
    <xf numFmtId="0" fontId="64" fillId="0" borderId="0" xfId="0" applyFont="1"/>
    <xf numFmtId="166" fontId="0" fillId="0" borderId="0" xfId="8" applyNumberFormat="1" applyFont="1"/>
    <xf numFmtId="165" fontId="23" fillId="0" borderId="0" xfId="2" applyNumberFormat="1" applyFont="1"/>
    <xf numFmtId="165" fontId="33" fillId="0" borderId="0" xfId="2" applyNumberFormat="1" applyFont="1"/>
    <xf numFmtId="0" fontId="51" fillId="0" borderId="0" xfId="0" applyFont="1"/>
    <xf numFmtId="165" fontId="51" fillId="0" borderId="0" xfId="2" applyNumberFormat="1" applyFont="1"/>
    <xf numFmtId="0" fontId="33" fillId="9" borderId="0" xfId="0" applyFont="1" applyFill="1"/>
    <xf numFmtId="0" fontId="33" fillId="4" borderId="0" xfId="0" applyFont="1" applyFill="1"/>
    <xf numFmtId="165" fontId="34" fillId="4" borderId="0" xfId="2" applyNumberFormat="1" applyFont="1" applyFill="1"/>
    <xf numFmtId="9" fontId="0" fillId="0" borderId="0" xfId="8" applyFont="1"/>
    <xf numFmtId="10" fontId="0" fillId="0" borderId="0" xfId="8" applyNumberFormat="1" applyFont="1"/>
    <xf numFmtId="44" fontId="17" fillId="0" borderId="0" xfId="0" applyNumberFormat="1" applyFont="1"/>
    <xf numFmtId="0" fontId="17" fillId="0" borderId="0" xfId="0" applyFont="1"/>
    <xf numFmtId="0" fontId="1" fillId="0" borderId="0" xfId="110" applyFont="1"/>
    <xf numFmtId="3" fontId="1" fillId="0" borderId="0" xfId="110" applyNumberFormat="1" applyFont="1" applyAlignment="1">
      <alignment horizontal="center"/>
    </xf>
    <xf numFmtId="165" fontId="1" fillId="0" borderId="0" xfId="110" applyNumberFormat="1" applyFont="1"/>
    <xf numFmtId="0" fontId="1" fillId="0" borderId="3" xfId="110" applyFont="1" applyBorder="1"/>
    <xf numFmtId="3" fontId="1" fillId="0" borderId="3" xfId="110" applyNumberFormat="1" applyFont="1" applyBorder="1" applyAlignment="1">
      <alignment horizontal="center"/>
    </xf>
    <xf numFmtId="165" fontId="1" fillId="0" borderId="3" xfId="110" applyNumberFormat="1" applyFont="1" applyBorder="1"/>
    <xf numFmtId="164" fontId="56" fillId="0" borderId="0" xfId="111" applyNumberFormat="1" applyFont="1"/>
    <xf numFmtId="172" fontId="1" fillId="0" borderId="0" xfId="112" applyNumberFormat="1" applyFont="1" applyAlignment="1">
      <alignment horizontal="center"/>
    </xf>
    <xf numFmtId="3" fontId="56" fillId="0" borderId="0" xfId="111" applyNumberFormat="1" applyFont="1" applyAlignment="1">
      <alignment horizontal="center"/>
    </xf>
    <xf numFmtId="165" fontId="56" fillId="0" borderId="0" xfId="112" applyNumberFormat="1" applyFont="1"/>
    <xf numFmtId="3" fontId="56" fillId="0" borderId="3" xfId="111" applyNumberFormat="1" applyFont="1" applyBorder="1" applyAlignment="1">
      <alignment horizontal="center"/>
    </xf>
    <xf numFmtId="165" fontId="56" fillId="0" borderId="3" xfId="112" applyNumberFormat="1" applyFont="1" applyBorder="1"/>
    <xf numFmtId="0" fontId="46" fillId="0" borderId="7" xfId="38" applyFont="1" applyFill="1" applyBorder="1" applyAlignment="1"/>
    <xf numFmtId="5" fontId="46" fillId="0" borderId="7" xfId="38" applyNumberFormat="1" applyFont="1" applyFill="1" applyBorder="1" applyAlignment="1"/>
    <xf numFmtId="5" fontId="46" fillId="0" borderId="9" xfId="38" applyNumberFormat="1" applyFont="1" applyFill="1" applyBorder="1" applyAlignment="1"/>
    <xf numFmtId="0" fontId="46" fillId="0" borderId="17" xfId="38" applyFont="1" applyFill="1" applyBorder="1" applyAlignment="1"/>
    <xf numFmtId="0" fontId="46" fillId="0" borderId="20" xfId="38" applyFont="1" applyFill="1" applyBorder="1" applyAlignment="1"/>
    <xf numFmtId="0" fontId="46" fillId="0" borderId="21" xfId="38" applyFont="1" applyFill="1" applyBorder="1" applyAlignment="1"/>
    <xf numFmtId="5" fontId="46" fillId="0" borderId="21" xfId="38" applyNumberFormat="1" applyFont="1" applyFill="1" applyBorder="1" applyAlignment="1"/>
    <xf numFmtId="5" fontId="46" fillId="0" borderId="22" xfId="38" applyNumberFormat="1" applyFont="1" applyFill="1" applyBorder="1" applyAlignment="1"/>
    <xf numFmtId="0" fontId="15" fillId="0" borderId="0" xfId="0" applyFont="1" applyAlignment="1">
      <alignment horizontal="center"/>
    </xf>
    <xf numFmtId="0" fontId="66" fillId="0" borderId="0" xfId="0" applyFont="1" applyAlignment="1">
      <alignment horizontal="center"/>
    </xf>
    <xf numFmtId="166" fontId="0" fillId="0" borderId="0" xfId="8" applyNumberFormat="1" applyFont="1" applyFill="1" applyBorder="1"/>
    <xf numFmtId="0" fontId="0" fillId="0" borderId="0" xfId="0" applyFill="1" applyBorder="1"/>
    <xf numFmtId="166" fontId="0" fillId="0" borderId="0" xfId="8" applyNumberFormat="1" applyFont="1" applyFill="1" applyBorder="1" applyAlignment="1">
      <alignment horizontal="center"/>
    </xf>
    <xf numFmtId="165" fontId="0" fillId="0" borderId="0" xfId="0" applyNumberFormat="1" applyFill="1" applyBorder="1" applyAlignment="1">
      <alignment horizontal="center"/>
    </xf>
    <xf numFmtId="0" fontId="17" fillId="0" borderId="0" xfId="0" applyFont="1" applyFill="1" applyBorder="1"/>
    <xf numFmtId="0" fontId="61" fillId="0" borderId="0" xfId="0" applyFont="1" applyFill="1" applyBorder="1"/>
    <xf numFmtId="166" fontId="61" fillId="0" borderId="0" xfId="8" applyNumberFormat="1" applyFont="1" applyFill="1" applyBorder="1" applyAlignment="1">
      <alignment horizontal="center"/>
    </xf>
    <xf numFmtId="165" fontId="61" fillId="0" borderId="0" xfId="0" applyNumberFormat="1" applyFont="1" applyFill="1" applyBorder="1" applyAlignment="1">
      <alignment horizontal="center"/>
    </xf>
    <xf numFmtId="166" fontId="8" fillId="0" borderId="0" xfId="8" applyNumberFormat="1" applyFont="1" applyFill="1" applyBorder="1"/>
    <xf numFmtId="165" fontId="51" fillId="0" borderId="0" xfId="0" applyNumberFormat="1" applyFont="1"/>
    <xf numFmtId="0" fontId="15" fillId="0" borderId="0" xfId="0" applyFont="1" applyAlignment="1"/>
    <xf numFmtId="166" fontId="18" fillId="0" borderId="2" xfId="7" applyNumberFormat="1" applyFont="1" applyBorder="1"/>
    <xf numFmtId="0" fontId="43" fillId="10" borderId="0" xfId="0" applyFont="1" applyFill="1" applyAlignment="1">
      <alignment horizontal="left"/>
    </xf>
    <xf numFmtId="0" fontId="34" fillId="10" borderId="0" xfId="0" applyFont="1" applyFill="1" applyBorder="1" applyAlignment="1">
      <alignment horizontal="center"/>
    </xf>
    <xf numFmtId="0" fontId="34" fillId="10" borderId="0" xfId="0" applyFont="1" applyFill="1" applyAlignment="1">
      <alignment horizontal="center"/>
    </xf>
    <xf numFmtId="165" fontId="34" fillId="10" borderId="0" xfId="102" applyNumberFormat="1" applyFont="1" applyFill="1"/>
    <xf numFmtId="165" fontId="34" fillId="10" borderId="0" xfId="102" applyNumberFormat="1" applyFont="1" applyFill="1" applyBorder="1"/>
    <xf numFmtId="10" fontId="33" fillId="11" borderId="4" xfId="8" applyNumberFormat="1" applyFont="1" applyFill="1" applyBorder="1"/>
    <xf numFmtId="10" fontId="33" fillId="11" borderId="9" xfId="8" applyNumberFormat="1" applyFont="1" applyFill="1" applyBorder="1"/>
    <xf numFmtId="165" fontId="18" fillId="0" borderId="0" xfId="0" applyNumberFormat="1" applyFont="1" applyFill="1"/>
    <xf numFmtId="166" fontId="44" fillId="0" borderId="0" xfId="114" applyNumberFormat="1" applyFont="1" applyFill="1" applyBorder="1"/>
    <xf numFmtId="166" fontId="44" fillId="0" borderId="5" xfId="114" applyNumberFormat="1" applyFont="1" applyFill="1" applyBorder="1"/>
    <xf numFmtId="0" fontId="63" fillId="2" borderId="0" xfId="0" applyFont="1" applyFill="1"/>
    <xf numFmtId="165" fontId="34" fillId="0" borderId="0" xfId="0" applyNumberFormat="1" applyFont="1" applyBorder="1" applyAlignment="1">
      <alignment horizontal="center"/>
    </xf>
    <xf numFmtId="0" fontId="17" fillId="2" borderId="0" xfId="0" applyFont="1" applyFill="1"/>
    <xf numFmtId="0" fontId="15" fillId="0" borderId="0" xfId="0" applyFont="1" applyAlignment="1">
      <alignment horizontal="center"/>
    </xf>
    <xf numFmtId="0" fontId="15" fillId="2" borderId="0" xfId="0" applyFont="1" applyFill="1" applyAlignment="1">
      <alignment horizontal="center"/>
    </xf>
    <xf numFmtId="0" fontId="33" fillId="5" borderId="42" xfId="0" applyFont="1" applyFill="1" applyBorder="1" applyAlignment="1">
      <alignment horizontal="center"/>
    </xf>
    <xf numFmtId="0" fontId="33" fillId="5" borderId="44" xfId="0" applyFont="1" applyFill="1" applyBorder="1" applyAlignment="1">
      <alignment horizontal="center"/>
    </xf>
    <xf numFmtId="171" fontId="35" fillId="5" borderId="17" xfId="0" applyNumberFormat="1" applyFont="1" applyFill="1" applyBorder="1" applyAlignment="1">
      <alignment horizontal="center"/>
    </xf>
    <xf numFmtId="171" fontId="35" fillId="5" borderId="18" xfId="0" applyNumberFormat="1" applyFont="1" applyFill="1" applyBorder="1" applyAlignment="1">
      <alignment horizontal="center"/>
    </xf>
    <xf numFmtId="171" fontId="35" fillId="5" borderId="19" xfId="0" applyNumberFormat="1" applyFont="1" applyFill="1" applyBorder="1" applyAlignment="1">
      <alignment horizontal="center"/>
    </xf>
    <xf numFmtId="0" fontId="45" fillId="15" borderId="4" xfId="34" applyFont="1" applyFill="1" applyBorder="1" applyAlignment="1">
      <alignment horizontal="center" vertical="center"/>
    </xf>
    <xf numFmtId="0" fontId="45" fillId="15" borderId="6" xfId="34" applyFont="1" applyFill="1" applyBorder="1" applyAlignment="1">
      <alignment horizontal="center" vertical="center"/>
    </xf>
    <xf numFmtId="0" fontId="45" fillId="15" borderId="9" xfId="34" applyFont="1" applyFill="1" applyBorder="1" applyAlignment="1">
      <alignment horizontal="center" vertical="center"/>
    </xf>
    <xf numFmtId="0" fontId="45" fillId="15" borderId="10" xfId="34" applyFont="1" applyFill="1" applyBorder="1" applyAlignment="1">
      <alignment horizontal="center" vertical="center"/>
    </xf>
    <xf numFmtId="0" fontId="35" fillId="0" borderId="36" xfId="0" applyFont="1" applyBorder="1" applyAlignment="1">
      <alignment horizontal="center" vertical="center" wrapText="1"/>
    </xf>
    <xf numFmtId="0" fontId="35" fillId="0" borderId="22" xfId="0" applyFont="1" applyBorder="1" applyAlignment="1">
      <alignment horizontal="center" vertical="center" wrapText="1"/>
    </xf>
    <xf numFmtId="171" fontId="33" fillId="13" borderId="4" xfId="1" applyNumberFormat="1" applyFont="1" applyFill="1" applyBorder="1" applyAlignment="1">
      <alignment horizontal="center"/>
    </xf>
    <xf numFmtId="171" fontId="33" fillId="13" borderId="5" xfId="1" applyNumberFormat="1" applyFont="1" applyFill="1" applyBorder="1" applyAlignment="1">
      <alignment horizontal="center"/>
    </xf>
    <xf numFmtId="171" fontId="33" fillId="13" borderId="6" xfId="1" applyNumberFormat="1" applyFont="1" applyFill="1" applyBorder="1" applyAlignment="1">
      <alignment horizontal="center"/>
    </xf>
    <xf numFmtId="10" fontId="34" fillId="13" borderId="2" xfId="8" applyNumberFormat="1" applyFont="1" applyFill="1" applyBorder="1" applyAlignment="1">
      <alignment horizontal="center"/>
    </xf>
    <xf numFmtId="171" fontId="33" fillId="16" borderId="4" xfId="1" applyNumberFormat="1" applyFont="1" applyFill="1" applyBorder="1" applyAlignment="1">
      <alignment horizontal="center"/>
    </xf>
    <xf numFmtId="171" fontId="33" fillId="16" borderId="5" xfId="1" applyNumberFormat="1" applyFont="1" applyFill="1" applyBorder="1" applyAlignment="1">
      <alignment horizontal="center"/>
    </xf>
    <xf numFmtId="171" fontId="33" fillId="16" borderId="6" xfId="1" applyNumberFormat="1" applyFont="1" applyFill="1" applyBorder="1" applyAlignment="1">
      <alignment horizontal="center"/>
    </xf>
    <xf numFmtId="10" fontId="34" fillId="16" borderId="9" xfId="8" applyNumberFormat="1" applyFont="1" applyFill="1" applyBorder="1" applyAlignment="1">
      <alignment horizontal="center"/>
    </xf>
    <xf numFmtId="10" fontId="34" fillId="16" borderId="2" xfId="8" applyNumberFormat="1" applyFont="1" applyFill="1" applyBorder="1" applyAlignment="1">
      <alignment horizontal="center"/>
    </xf>
    <xf numFmtId="10" fontId="34" fillId="16" borderId="10" xfId="8" applyNumberFormat="1" applyFont="1" applyFill="1" applyBorder="1" applyAlignment="1">
      <alignment horizontal="center"/>
    </xf>
    <xf numFmtId="164" fontId="35" fillId="2" borderId="4" xfId="1" applyNumberFormat="1" applyFont="1" applyFill="1" applyBorder="1" applyAlignment="1">
      <alignment horizontal="center" wrapText="1"/>
    </xf>
    <xf numFmtId="164" fontId="35" fillId="2" borderId="5" xfId="1" applyNumberFormat="1" applyFont="1" applyFill="1" applyBorder="1" applyAlignment="1">
      <alignment horizontal="center" wrapText="1"/>
    </xf>
    <xf numFmtId="164" fontId="35" fillId="2" borderId="6" xfId="1" applyNumberFormat="1" applyFont="1" applyFill="1" applyBorder="1" applyAlignment="1">
      <alignment horizontal="center" wrapText="1"/>
    </xf>
    <xf numFmtId="164" fontId="35" fillId="13" borderId="4" xfId="1" applyNumberFormat="1" applyFont="1" applyFill="1" applyBorder="1" applyAlignment="1">
      <alignment horizontal="center" wrapText="1"/>
    </xf>
    <xf numFmtId="164" fontId="35" fillId="13" borderId="5" xfId="1" applyNumberFormat="1" applyFont="1" applyFill="1" applyBorder="1" applyAlignment="1">
      <alignment horizontal="center" wrapText="1"/>
    </xf>
    <xf numFmtId="164" fontId="35" fillId="13" borderId="6" xfId="1" applyNumberFormat="1" applyFont="1" applyFill="1" applyBorder="1" applyAlignment="1">
      <alignment horizontal="center" wrapText="1"/>
    </xf>
    <xf numFmtId="164" fontId="35" fillId="14" borderId="4" xfId="1" applyNumberFormat="1" applyFont="1" applyFill="1" applyBorder="1" applyAlignment="1">
      <alignment horizontal="center" wrapText="1"/>
    </xf>
    <xf numFmtId="164" fontId="35" fillId="14" borderId="5" xfId="1" applyNumberFormat="1" applyFont="1" applyFill="1" applyBorder="1" applyAlignment="1">
      <alignment horizontal="center" wrapText="1"/>
    </xf>
    <xf numFmtId="164" fontId="35" fillId="14" borderId="6" xfId="1" applyNumberFormat="1" applyFont="1" applyFill="1" applyBorder="1" applyAlignment="1">
      <alignment horizontal="center" wrapText="1"/>
    </xf>
    <xf numFmtId="171" fontId="33" fillId="2" borderId="4" xfId="1" applyNumberFormat="1" applyFont="1" applyFill="1" applyBorder="1" applyAlignment="1">
      <alignment horizontal="center"/>
    </xf>
    <xf numFmtId="171" fontId="33" fillId="2" borderId="5" xfId="1" applyNumberFormat="1" applyFont="1" applyFill="1" applyBorder="1" applyAlignment="1">
      <alignment horizontal="center"/>
    </xf>
    <xf numFmtId="171" fontId="33" fillId="2" borderId="6" xfId="1" applyNumberFormat="1" applyFont="1" applyFill="1" applyBorder="1" applyAlignment="1">
      <alignment horizontal="center"/>
    </xf>
    <xf numFmtId="171" fontId="33" fillId="12" borderId="4" xfId="2" applyNumberFormat="1" applyFont="1" applyFill="1" applyBorder="1" applyAlignment="1">
      <alignment horizontal="center"/>
    </xf>
    <xf numFmtId="171" fontId="33" fillId="12" borderId="5" xfId="2" applyNumberFormat="1" applyFont="1" applyFill="1" applyBorder="1" applyAlignment="1">
      <alignment horizontal="center"/>
    </xf>
    <xf numFmtId="171" fontId="33" fillId="12" borderId="6" xfId="2" applyNumberFormat="1" applyFont="1" applyFill="1" applyBorder="1" applyAlignment="1">
      <alignment horizontal="center"/>
    </xf>
    <xf numFmtId="171" fontId="33" fillId="11" borderId="4" xfId="1" applyNumberFormat="1" applyFont="1" applyFill="1" applyBorder="1" applyAlignment="1">
      <alignment horizontal="center"/>
    </xf>
    <xf numFmtId="171" fontId="33" fillId="11" borderId="5" xfId="1" applyNumberFormat="1" applyFont="1" applyFill="1" applyBorder="1" applyAlignment="1">
      <alignment horizontal="center"/>
    </xf>
    <xf numFmtId="171" fontId="33" fillId="11" borderId="6" xfId="1" applyNumberFormat="1" applyFont="1" applyFill="1" applyBorder="1" applyAlignment="1">
      <alignment horizontal="center"/>
    </xf>
    <xf numFmtId="10" fontId="34" fillId="12" borderId="9" xfId="8" applyNumberFormat="1" applyFont="1" applyFill="1" applyBorder="1" applyAlignment="1">
      <alignment horizontal="center"/>
    </xf>
    <xf numFmtId="10" fontId="34" fillId="12" borderId="2" xfId="8" applyNumberFormat="1" applyFont="1" applyFill="1" applyBorder="1" applyAlignment="1">
      <alignment horizontal="center"/>
    </xf>
    <xf numFmtId="10" fontId="34" fillId="12" borderId="10" xfId="8" applyNumberFormat="1" applyFont="1" applyFill="1" applyBorder="1" applyAlignment="1">
      <alignment horizontal="center"/>
    </xf>
    <xf numFmtId="10" fontId="34" fillId="11" borderId="9" xfId="8" applyNumberFormat="1" applyFont="1" applyFill="1" applyBorder="1" applyAlignment="1">
      <alignment horizontal="center"/>
    </xf>
    <xf numFmtId="10" fontId="34" fillId="11" borderId="2" xfId="8" applyNumberFormat="1" applyFont="1" applyFill="1" applyBorder="1" applyAlignment="1">
      <alignment horizontal="center"/>
    </xf>
    <xf numFmtId="10" fontId="34" fillId="11" borderId="10" xfId="8" applyNumberFormat="1" applyFont="1" applyFill="1" applyBorder="1" applyAlignment="1">
      <alignment horizontal="center"/>
    </xf>
    <xf numFmtId="164" fontId="35" fillId="12" borderId="42" xfId="1" applyNumberFormat="1" applyFont="1" applyFill="1" applyBorder="1" applyAlignment="1">
      <alignment horizontal="center" wrapText="1"/>
    </xf>
    <xf numFmtId="164" fontId="35" fillId="12" borderId="43" xfId="1" applyNumberFormat="1" applyFont="1" applyFill="1" applyBorder="1" applyAlignment="1">
      <alignment horizontal="center" wrapText="1"/>
    </xf>
    <xf numFmtId="164" fontId="35" fillId="12" borderId="44" xfId="1" applyNumberFormat="1" applyFont="1" applyFill="1" applyBorder="1" applyAlignment="1">
      <alignment horizontal="center" wrapText="1"/>
    </xf>
    <xf numFmtId="164" fontId="35" fillId="11" borderId="42" xfId="1" applyNumberFormat="1" applyFont="1" applyFill="1" applyBorder="1" applyAlignment="1">
      <alignment horizontal="center" wrapText="1"/>
    </xf>
    <xf numFmtId="164" fontId="35" fillId="11" borderId="43" xfId="1" applyNumberFormat="1" applyFont="1" applyFill="1" applyBorder="1" applyAlignment="1">
      <alignment horizontal="center" wrapText="1"/>
    </xf>
    <xf numFmtId="164" fontId="35" fillId="11" borderId="44" xfId="1" applyNumberFormat="1" applyFont="1" applyFill="1" applyBorder="1" applyAlignment="1">
      <alignment horizontal="center" wrapText="1"/>
    </xf>
    <xf numFmtId="10" fontId="34" fillId="15" borderId="9" xfId="8" applyNumberFormat="1" applyFont="1" applyFill="1" applyBorder="1" applyAlignment="1">
      <alignment horizontal="center"/>
    </xf>
    <xf numFmtId="10" fontId="34" fillId="15" borderId="10" xfId="8" applyNumberFormat="1" applyFont="1" applyFill="1" applyBorder="1" applyAlignment="1">
      <alignment horizontal="center"/>
    </xf>
    <xf numFmtId="0" fontId="35" fillId="15" borderId="4" xfId="0" applyFont="1" applyFill="1" applyBorder="1" applyAlignment="1">
      <alignment horizontal="center" wrapText="1"/>
    </xf>
    <xf numFmtId="0" fontId="35" fillId="15" borderId="44" xfId="0" applyFont="1" applyFill="1" applyBorder="1" applyAlignment="1">
      <alignment horizontal="center" wrapText="1"/>
    </xf>
    <xf numFmtId="171" fontId="33" fillId="15" borderId="4" xfId="0" applyNumberFormat="1" applyFont="1" applyFill="1" applyBorder="1" applyAlignment="1">
      <alignment horizontal="center"/>
    </xf>
    <xf numFmtId="171" fontId="33" fillId="15" borderId="6" xfId="0" applyNumberFormat="1" applyFont="1" applyFill="1" applyBorder="1" applyAlignment="1">
      <alignment horizontal="center"/>
    </xf>
    <xf numFmtId="0" fontId="15" fillId="0" borderId="0" xfId="3" applyFont="1" applyAlignment="1">
      <alignment horizontal="center"/>
    </xf>
    <xf numFmtId="22" fontId="15" fillId="0" borderId="0" xfId="3" applyNumberFormat="1" applyFont="1" applyAlignment="1" applyProtection="1">
      <alignment horizontal="center"/>
      <protection locked="0"/>
    </xf>
    <xf numFmtId="0" fontId="15" fillId="0" borderId="0" xfId="3" applyNumberFormat="1" applyFont="1" applyAlignment="1" applyProtection="1">
      <alignment horizontal="center"/>
      <protection locked="0"/>
    </xf>
    <xf numFmtId="0" fontId="15" fillId="0" borderId="0" xfId="3" applyNumberFormat="1" applyFont="1" applyFill="1" applyAlignment="1" applyProtection="1">
      <alignment horizontal="center"/>
      <protection locked="0"/>
    </xf>
    <xf numFmtId="0" fontId="15" fillId="7" borderId="4" xfId="3" applyFont="1" applyFill="1" applyBorder="1" applyAlignment="1">
      <alignment horizontal="center"/>
    </xf>
    <xf numFmtId="0" fontId="15" fillId="7" borderId="5" xfId="3" applyFont="1" applyFill="1" applyBorder="1" applyAlignment="1">
      <alignment horizontal="center"/>
    </xf>
    <xf numFmtId="0" fontId="15" fillId="7" borderId="6" xfId="3" applyFont="1" applyFill="1" applyBorder="1" applyAlignment="1">
      <alignment horizontal="center"/>
    </xf>
    <xf numFmtId="0" fontId="15" fillId="0" borderId="0" xfId="3" applyNumberFormat="1" applyFont="1" applyBorder="1" applyAlignment="1" applyProtection="1">
      <alignment horizontal="left"/>
      <protection locked="0"/>
    </xf>
    <xf numFmtId="164" fontId="15" fillId="0" borderId="0" xfId="1" applyNumberFormat="1" applyFont="1" applyBorder="1" applyAlignment="1" applyProtection="1">
      <alignment horizontal="center"/>
      <protection locked="0"/>
    </xf>
    <xf numFmtId="0" fontId="15" fillId="0" borderId="0" xfId="3" applyNumberFormat="1" applyFont="1" applyFill="1" applyBorder="1" applyAlignment="1" applyProtection="1">
      <alignment horizontal="left"/>
      <protection locked="0"/>
    </xf>
    <xf numFmtId="0" fontId="15" fillId="0" borderId="0" xfId="103" applyFont="1" applyFill="1" applyAlignment="1">
      <alignment horizontal="center"/>
    </xf>
    <xf numFmtId="0" fontId="52" fillId="0" borderId="0" xfId="0" applyFont="1" applyAlignment="1">
      <alignment horizontal="left" wrapText="1"/>
    </xf>
    <xf numFmtId="0" fontId="43" fillId="0" borderId="17" xfId="104" applyFont="1" applyBorder="1" applyAlignment="1">
      <alignment horizontal="center"/>
    </xf>
    <xf numFmtId="0" fontId="43" fillId="0" borderId="18" xfId="104" applyFont="1" applyBorder="1" applyAlignment="1">
      <alignment horizontal="center"/>
    </xf>
    <xf numFmtId="0" fontId="43" fillId="0" borderId="19" xfId="104" applyFont="1" applyBorder="1" applyAlignment="1">
      <alignment horizontal="center"/>
    </xf>
    <xf numFmtId="3" fontId="55" fillId="20" borderId="17" xfId="107" applyNumberFormat="1" applyFont="1" applyFill="1" applyBorder="1" applyAlignment="1">
      <alignment horizontal="center"/>
    </xf>
    <xf numFmtId="3" fontId="55" fillId="20" borderId="18" xfId="107" applyNumberFormat="1" applyFont="1" applyFill="1" applyBorder="1" applyAlignment="1">
      <alignment horizontal="center"/>
    </xf>
    <xf numFmtId="3" fontId="55" fillId="20" borderId="19" xfId="107" applyNumberFormat="1" applyFont="1" applyFill="1" applyBorder="1" applyAlignment="1">
      <alignment horizontal="center"/>
    </xf>
    <xf numFmtId="165" fontId="47" fillId="0" borderId="4" xfId="39" applyNumberFormat="1" applyFont="1" applyFill="1" applyBorder="1" applyAlignment="1">
      <alignment horizontal="center"/>
    </xf>
    <xf numFmtId="165" fontId="47" fillId="0" borderId="5" xfId="39" applyNumberFormat="1" applyFont="1" applyFill="1" applyBorder="1" applyAlignment="1">
      <alignment horizontal="center"/>
    </xf>
    <xf numFmtId="165" fontId="47" fillId="0" borderId="6" xfId="39" applyNumberFormat="1" applyFont="1" applyFill="1" applyBorder="1" applyAlignment="1">
      <alignment horizontal="center"/>
    </xf>
    <xf numFmtId="0" fontId="45" fillId="0" borderId="0" xfId="38" applyFont="1" applyFill="1" applyBorder="1" applyAlignment="1">
      <alignment horizontal="center"/>
    </xf>
    <xf numFmtId="0" fontId="46" fillId="0" borderId="0" xfId="38" applyFont="1" applyAlignment="1">
      <alignment horizontal="center"/>
    </xf>
    <xf numFmtId="0" fontId="46" fillId="0" borderId="0" xfId="38" applyFont="1" applyFill="1" applyBorder="1" applyAlignment="1">
      <alignment horizontal="center"/>
    </xf>
    <xf numFmtId="165" fontId="45" fillId="0" borderId="81" xfId="39" applyNumberFormat="1" applyFont="1" applyFill="1" applyBorder="1" applyAlignment="1">
      <alignment horizontal="center"/>
    </xf>
    <xf numFmtId="0" fontId="46" fillId="0" borderId="81" xfId="38" applyFont="1" applyBorder="1" applyAlignment="1">
      <alignment horizontal="center"/>
    </xf>
    <xf numFmtId="0" fontId="45" fillId="0" borderId="81" xfId="38" applyFont="1" applyFill="1" applyBorder="1" applyAlignment="1">
      <alignment horizontal="center"/>
    </xf>
    <xf numFmtId="0" fontId="44" fillId="0" borderId="5" xfId="38" applyFont="1" applyFill="1" applyBorder="1" applyAlignment="1">
      <alignment horizontal="left"/>
    </xf>
    <xf numFmtId="165" fontId="44" fillId="0" borderId="5" xfId="39" applyNumberFormat="1" applyFont="1" applyFill="1" applyBorder="1" applyAlignment="1">
      <alignment horizontal="left"/>
    </xf>
    <xf numFmtId="0" fontId="4" fillId="15" borderId="4" xfId="113" applyFill="1" applyBorder="1" applyAlignment="1">
      <alignment horizontal="center"/>
    </xf>
    <xf numFmtId="0" fontId="4" fillId="15" borderId="6" xfId="113" applyFill="1" applyBorder="1" applyAlignment="1">
      <alignment horizontal="center"/>
    </xf>
  </cellXfs>
  <cellStyles count="120">
    <cellStyle name="Comma" xfId="1" builtinId="3"/>
    <cellStyle name="Comma 2" xfId="15"/>
    <cellStyle name="Comma 2 2" xfId="20"/>
    <cellStyle name="Comma 3" xfId="31"/>
    <cellStyle name="Comma 4" xfId="41"/>
    <cellStyle name="Comma 4 2" xfId="116"/>
    <cellStyle name="Comma 5" xfId="111"/>
    <cellStyle name="Currency" xfId="2" builtinId="4"/>
    <cellStyle name="Currency 10" xfId="102"/>
    <cellStyle name="Currency 11" xfId="112"/>
    <cellStyle name="Currency 12" xfId="115"/>
    <cellStyle name="Currency 2" xfId="9"/>
    <cellStyle name="Currency 2 10" xfId="47"/>
    <cellStyle name="Currency 2 11" xfId="46"/>
    <cellStyle name="Currency 2 12" xfId="108"/>
    <cellStyle name="Currency 2 2" xfId="12"/>
    <cellStyle name="Currency 2 2 2" xfId="49"/>
    <cellStyle name="Currency 2 2 3" xfId="50"/>
    <cellStyle name="Currency 2 2 4" xfId="51"/>
    <cellStyle name="Currency 2 2 5" xfId="52"/>
    <cellStyle name="Currency 2 2 6" xfId="53"/>
    <cellStyle name="Currency 2 2 7" xfId="54"/>
    <cellStyle name="Currency 2 2 8" xfId="48"/>
    <cellStyle name="Currency 2 3" xfId="24"/>
    <cellStyle name="Currency 2 3 2" xfId="27"/>
    <cellStyle name="Currency 2 3 2 2" xfId="56"/>
    <cellStyle name="Currency 2 3 3" xfId="57"/>
    <cellStyle name="Currency 2 3 4" xfId="58"/>
    <cellStyle name="Currency 2 3 5" xfId="59"/>
    <cellStyle name="Currency 2 3 6" xfId="60"/>
    <cellStyle name="Currency 2 3 7" xfId="61"/>
    <cellStyle name="Currency 2 3 8" xfId="55"/>
    <cellStyle name="Currency 2 4" xfId="29"/>
    <cellStyle name="Currency 2 4 2" xfId="63"/>
    <cellStyle name="Currency 2 4 3" xfId="64"/>
    <cellStyle name="Currency 2 4 4" xfId="65"/>
    <cellStyle name="Currency 2 4 5" xfId="66"/>
    <cellStyle name="Currency 2 4 6" xfId="67"/>
    <cellStyle name="Currency 2 4 7" xfId="68"/>
    <cellStyle name="Currency 2 4 8" xfId="62"/>
    <cellStyle name="Currency 2 5" xfId="69"/>
    <cellStyle name="Currency 2 6" xfId="70"/>
    <cellStyle name="Currency 2 7" xfId="71"/>
    <cellStyle name="Currency 2 8" xfId="72"/>
    <cellStyle name="Currency 2 9" xfId="73"/>
    <cellStyle name="Currency 3" xfId="10"/>
    <cellStyle name="Currency 3 2" xfId="16"/>
    <cellStyle name="Currency 3 3" xfId="25"/>
    <cellStyle name="Currency 3 4" xfId="101"/>
    <cellStyle name="Currency 4" xfId="18"/>
    <cellStyle name="Currency 5" xfId="11"/>
    <cellStyle name="Currency 5 2" xfId="105"/>
    <cellStyle name="Currency 6" xfId="23"/>
    <cellStyle name="Currency 7" xfId="39"/>
    <cellStyle name="Currency 7 2" xfId="117"/>
    <cellStyle name="Currency 8" xfId="44"/>
    <cellStyle name="Currency 9" xfId="43"/>
    <cellStyle name="Normal" xfId="0" builtinId="0"/>
    <cellStyle name="Normal 10" xfId="38"/>
    <cellStyle name="Normal 10 2" xfId="107"/>
    <cellStyle name="Normal 10 3" xfId="118"/>
    <cellStyle name="Normal 11" xfId="42"/>
    <cellStyle name="Normal 12" xfId="110"/>
    <cellStyle name="Normal 13" xfId="113"/>
    <cellStyle name="Normal 14" xfId="109"/>
    <cellStyle name="Normal 2" xfId="4"/>
    <cellStyle name="Normal 2 2" xfId="33"/>
    <cellStyle name="Normal 3" xfId="5"/>
    <cellStyle name="Normal 3 2" xfId="103"/>
    <cellStyle name="Normal 4" xfId="6"/>
    <cellStyle name="Normal 5" xfId="13"/>
    <cellStyle name="Normal 5 10" xfId="74"/>
    <cellStyle name="Normal 5 11" xfId="45"/>
    <cellStyle name="Normal 5 2" xfId="19"/>
    <cellStyle name="Normal 5 2 2" xfId="76"/>
    <cellStyle name="Normal 5 2 3" xfId="77"/>
    <cellStyle name="Normal 5 2 4" xfId="78"/>
    <cellStyle name="Normal 5 2 5" xfId="79"/>
    <cellStyle name="Normal 5 2 6" xfId="80"/>
    <cellStyle name="Normal 5 2 7" xfId="81"/>
    <cellStyle name="Normal 5 2 8" xfId="75"/>
    <cellStyle name="Normal 5 3" xfId="26"/>
    <cellStyle name="Normal 5 3 2" xfId="28"/>
    <cellStyle name="Normal 5 3 2 2" xfId="83"/>
    <cellStyle name="Normal 5 3 3" xfId="84"/>
    <cellStyle name="Normal 5 3 4" xfId="85"/>
    <cellStyle name="Normal 5 3 5" xfId="86"/>
    <cellStyle name="Normal 5 3 6" xfId="87"/>
    <cellStyle name="Normal 5 3 7" xfId="88"/>
    <cellStyle name="Normal 5 3 8" xfId="82"/>
    <cellStyle name="Normal 5 4" xfId="30"/>
    <cellStyle name="Normal 5 4 2" xfId="90"/>
    <cellStyle name="Normal 5 4 3" xfId="91"/>
    <cellStyle name="Normal 5 4 4" xfId="92"/>
    <cellStyle name="Normal 5 4 5" xfId="93"/>
    <cellStyle name="Normal 5 4 6" xfId="94"/>
    <cellStyle name="Normal 5 4 7" xfId="95"/>
    <cellStyle name="Normal 5 4 8" xfId="89"/>
    <cellStyle name="Normal 5 5" xfId="96"/>
    <cellStyle name="Normal 5 6" xfId="97"/>
    <cellStyle name="Normal 5 7" xfId="98"/>
    <cellStyle name="Normal 5 8" xfId="99"/>
    <cellStyle name="Normal 5 9" xfId="100"/>
    <cellStyle name="Normal 6" xfId="14"/>
    <cellStyle name="Normal 6 2" xfId="21"/>
    <cellStyle name="Normal 6 3" xfId="104"/>
    <cellStyle name="Normal 7" xfId="22"/>
    <cellStyle name="Normal 8" xfId="32"/>
    <cellStyle name="Normal 9" xfId="34"/>
    <cellStyle name="Normal_ENRCHNG" xfId="3"/>
    <cellStyle name="Percent" xfId="8" builtinId="5"/>
    <cellStyle name="Percent 2" xfId="7"/>
    <cellStyle name="Percent 2 2" xfId="36"/>
    <cellStyle name="Percent 3" xfId="17"/>
    <cellStyle name="Percent 4" xfId="35"/>
    <cellStyle name="Percent 5" xfId="37"/>
    <cellStyle name="Percent 5 2" xfId="106"/>
    <cellStyle name="Percent 6" xfId="40"/>
    <cellStyle name="Percent 6 2" xfId="119"/>
    <cellStyle name="Percent 7" xfId="1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4.xml"/><Relationship Id="rId39" Type="http://schemas.openxmlformats.org/officeDocument/2006/relationships/externalLink" Target="externalLinks/externalLink6.xml"/><Relationship Id="rId21" Type="http://schemas.openxmlformats.org/officeDocument/2006/relationships/worksheet" Target="worksheets/sheet21.xml"/><Relationship Id="rId34" Type="http://schemas.openxmlformats.org/officeDocument/2006/relationships/externalLink" Target="externalLinks/externalLink1.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hartsheet" Target="chartsheets/sheet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hartsheet" Target="chartsheets/sheet2.xml"/><Relationship Id="rId32" Type="http://schemas.openxmlformats.org/officeDocument/2006/relationships/worksheet" Target="worksheets/sheet27.xml"/><Relationship Id="rId37" Type="http://schemas.openxmlformats.org/officeDocument/2006/relationships/externalLink" Target="externalLinks/externalLink4.xml"/><Relationship Id="rId40" Type="http://schemas.openxmlformats.org/officeDocument/2006/relationships/externalLink" Target="externalLinks/externalLink7.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2.xml"/><Relationship Id="rId28" Type="http://schemas.openxmlformats.org/officeDocument/2006/relationships/chartsheet" Target="chartsheets/sheet3.xml"/><Relationship Id="rId36"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hartsheet" Target="chartsheets/sheet5.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hartsheet" Target="chartsheets/sheet1.xml"/><Relationship Id="rId27" Type="http://schemas.openxmlformats.org/officeDocument/2006/relationships/worksheet" Target="worksheets/sheet25.xml"/><Relationship Id="rId30" Type="http://schemas.openxmlformats.org/officeDocument/2006/relationships/worksheet" Target="worksheets/sheet26.xml"/><Relationship Id="rId35" Type="http://schemas.openxmlformats.org/officeDocument/2006/relationships/externalLink" Target="externalLinks/externalLink2.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3.xml"/><Relationship Id="rId33" Type="http://schemas.openxmlformats.org/officeDocument/2006/relationships/chartsheet" Target="chartsheets/sheet6.xml"/><Relationship Id="rId38" Type="http://schemas.openxmlformats.org/officeDocument/2006/relationships/externalLink" Target="externalLinks/externalLink5.xml"/><Relationship Id="rId20" Type="http://schemas.openxmlformats.org/officeDocument/2006/relationships/worksheet" Target="worksheets/sheet20.xml"/><Relationship Id="rId41" Type="http://schemas.openxmlformats.org/officeDocument/2006/relationships/externalLink" Target="externalLinks/externalLink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Higher</a:t>
            </a:r>
            <a:r>
              <a:rPr lang="en-US" baseline="0"/>
              <a:t> Education Debt Service Appropriations and Est. Spend</a:t>
            </a:r>
            <a:endParaRPr lang="en-US"/>
          </a:p>
        </c:rich>
      </c:tx>
      <c:overlay val="0"/>
    </c:title>
    <c:autoTitleDeleted val="0"/>
    <c:plotArea>
      <c:layout/>
      <c:areaChart>
        <c:grouping val="stacked"/>
        <c:varyColors val="0"/>
        <c:ser>
          <c:idx val="0"/>
          <c:order val="0"/>
          <c:tx>
            <c:strRef>
              <c:f>'Debt Service 2000-2032'!$A$2</c:f>
              <c:strCache>
                <c:ptCount val="1"/>
                <c:pt idx="0">
                  <c:v>Current Fee Replacement</c:v>
                </c:pt>
              </c:strCache>
            </c:strRef>
          </c:tx>
          <c:spPr>
            <a:ln w="25400">
              <a:noFill/>
            </a:ln>
          </c:spPr>
          <c:cat>
            <c:numRef>
              <c:f>'Debt Service 2000-2032'!$B$4:$AK$4</c:f>
              <c:numCache>
                <c:formatCode>General</c:formatCode>
                <c:ptCount val="3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numCache>
            </c:numRef>
          </c:cat>
          <c:val>
            <c:numRef>
              <c:f>'Debt Service 2000-2032'!$B$23:$AJ$23</c:f>
              <c:numCache>
                <c:formatCode>_("$"* #,##0_);_("$"* \(#,##0\);_("$"* "-"??_);_(@_)</c:formatCode>
                <c:ptCount val="35"/>
                <c:pt idx="0">
                  <c:v>104595976</c:v>
                </c:pt>
                <c:pt idx="1">
                  <c:v>106549896</c:v>
                </c:pt>
                <c:pt idx="2">
                  <c:v>118691438</c:v>
                </c:pt>
                <c:pt idx="3">
                  <c:v>113409869</c:v>
                </c:pt>
                <c:pt idx="4">
                  <c:v>111682111</c:v>
                </c:pt>
                <c:pt idx="5">
                  <c:v>110239554</c:v>
                </c:pt>
                <c:pt idx="6">
                  <c:v>113400419</c:v>
                </c:pt>
                <c:pt idx="7">
                  <c:v>131148782</c:v>
                </c:pt>
                <c:pt idx="8">
                  <c:v>157031549</c:v>
                </c:pt>
                <c:pt idx="9">
                  <c:v>176530354</c:v>
                </c:pt>
                <c:pt idx="10">
                  <c:v>167538753</c:v>
                </c:pt>
                <c:pt idx="11">
                  <c:v>177272386</c:v>
                </c:pt>
                <c:pt idx="12">
                  <c:v>151609787</c:v>
                </c:pt>
                <c:pt idx="13">
                  <c:v>151873910</c:v>
                </c:pt>
                <c:pt idx="14">
                  <c:v>142264034</c:v>
                </c:pt>
                <c:pt idx="15">
                  <c:v>140078175</c:v>
                </c:pt>
                <c:pt idx="16">
                  <c:v>137469697</c:v>
                </c:pt>
                <c:pt idx="17">
                  <c:v>129237087</c:v>
                </c:pt>
                <c:pt idx="18">
                  <c:v>127116686</c:v>
                </c:pt>
                <c:pt idx="19">
                  <c:v>118599594</c:v>
                </c:pt>
                <c:pt idx="20">
                  <c:v>111257173</c:v>
                </c:pt>
                <c:pt idx="21">
                  <c:v>109605293</c:v>
                </c:pt>
                <c:pt idx="22">
                  <c:v>92237076</c:v>
                </c:pt>
                <c:pt idx="23">
                  <c:v>86215632</c:v>
                </c:pt>
                <c:pt idx="24">
                  <c:v>79817314</c:v>
                </c:pt>
                <c:pt idx="25">
                  <c:v>73067774.359999999</c:v>
                </c:pt>
                <c:pt idx="26">
                  <c:v>69973649</c:v>
                </c:pt>
                <c:pt idx="27">
                  <c:v>63827467</c:v>
                </c:pt>
                <c:pt idx="28">
                  <c:v>37481000</c:v>
                </c:pt>
                <c:pt idx="29">
                  <c:v>22703596</c:v>
                </c:pt>
                <c:pt idx="30">
                  <c:v>16804006</c:v>
                </c:pt>
                <c:pt idx="31">
                  <c:v>8656500</c:v>
                </c:pt>
                <c:pt idx="32">
                  <c:v>5258710</c:v>
                </c:pt>
                <c:pt idx="33">
                  <c:v>1043676</c:v>
                </c:pt>
                <c:pt idx="34">
                  <c:v>0</c:v>
                </c:pt>
              </c:numCache>
            </c:numRef>
          </c:val>
        </c:ser>
        <c:ser>
          <c:idx val="1"/>
          <c:order val="1"/>
          <c:tx>
            <c:strRef>
              <c:f>'Debt Service 2000-2032'!$N$26</c:f>
              <c:strCache>
                <c:ptCount val="1"/>
                <c:pt idx="0">
                  <c:v>Previously Authorized Capital Projects</c:v>
                </c:pt>
              </c:strCache>
            </c:strRef>
          </c:tx>
          <c:spPr>
            <a:ln w="25400">
              <a:noFill/>
            </a:ln>
          </c:spPr>
          <c:cat>
            <c:numRef>
              <c:f>'Debt Service 2000-2032'!$B$4:$AK$4</c:f>
              <c:numCache>
                <c:formatCode>General</c:formatCode>
                <c:ptCount val="3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numCache>
            </c:numRef>
          </c:cat>
          <c:val>
            <c:numRef>
              <c:f>'Debt Service 2000-2032'!$B$43:$AJ$43</c:f>
              <c:numCache>
                <c:formatCode>General</c:formatCode>
                <c:ptCount val="35"/>
                <c:pt idx="14" formatCode="_(&quot;$&quot;* #,##0_);_(&quot;$&quot;* \(#,##0\);_(&quot;$&quot;* &quot;-&quot;??_);_(@_)">
                  <c:v>14743933.592112854</c:v>
                </c:pt>
                <c:pt idx="15" formatCode="_(&quot;$&quot;* #,##0_);_(&quot;$&quot;* \(#,##0\);_(&quot;$&quot;* &quot;-&quot;??_);_(@_)">
                  <c:v>14743933.592112854</c:v>
                </c:pt>
                <c:pt idx="16" formatCode="_(&quot;$&quot;* #,##0_);_(&quot;$&quot;* \(#,##0\);_(&quot;$&quot;* &quot;-&quot;??_);_(@_)">
                  <c:v>14743933.592112854</c:v>
                </c:pt>
                <c:pt idx="17" formatCode="_(&quot;$&quot;* #,##0_);_(&quot;$&quot;* \(#,##0\);_(&quot;$&quot;* &quot;-&quot;??_);_(@_)">
                  <c:v>14743933.592112854</c:v>
                </c:pt>
                <c:pt idx="18" formatCode="_(&quot;$&quot;* #,##0_);_(&quot;$&quot;* \(#,##0\);_(&quot;$&quot;* &quot;-&quot;??_);_(@_)">
                  <c:v>14743933.592112854</c:v>
                </c:pt>
                <c:pt idx="19" formatCode="_(&quot;$&quot;* #,##0_);_(&quot;$&quot;* \(#,##0\);_(&quot;$&quot;* &quot;-&quot;??_);_(@_)">
                  <c:v>14743933.592112854</c:v>
                </c:pt>
                <c:pt idx="20" formatCode="_(&quot;$&quot;* #,##0_);_(&quot;$&quot;* \(#,##0\);_(&quot;$&quot;* &quot;-&quot;??_);_(@_)">
                  <c:v>14743933.592112854</c:v>
                </c:pt>
                <c:pt idx="21" formatCode="_(&quot;$&quot;* #,##0_);_(&quot;$&quot;* \(#,##0\);_(&quot;$&quot;* &quot;-&quot;??_);_(@_)">
                  <c:v>14743933.592112854</c:v>
                </c:pt>
                <c:pt idx="22" formatCode="_(&quot;$&quot;* #,##0_);_(&quot;$&quot;* \(#,##0\);_(&quot;$&quot;* &quot;-&quot;??_);_(@_)">
                  <c:v>14743933.592112854</c:v>
                </c:pt>
                <c:pt idx="23" formatCode="_(&quot;$&quot;* #,##0_);_(&quot;$&quot;* \(#,##0\);_(&quot;$&quot;* &quot;-&quot;??_);_(@_)">
                  <c:v>14743933.592112854</c:v>
                </c:pt>
                <c:pt idx="24" formatCode="_(&quot;$&quot;* #,##0_);_(&quot;$&quot;* \(#,##0\);_(&quot;$&quot;* &quot;-&quot;??_);_(@_)">
                  <c:v>14743933.592112854</c:v>
                </c:pt>
                <c:pt idx="25" formatCode="_(&quot;$&quot;* #,##0_);_(&quot;$&quot;* \(#,##0\);_(&quot;$&quot;* &quot;-&quot;??_);_(@_)">
                  <c:v>14743933.592112854</c:v>
                </c:pt>
                <c:pt idx="26" formatCode="_(&quot;$&quot;* #,##0_);_(&quot;$&quot;* \(#,##0\);_(&quot;$&quot;* &quot;-&quot;??_);_(@_)">
                  <c:v>14743933.592112854</c:v>
                </c:pt>
                <c:pt idx="27" formatCode="_(&quot;$&quot;* #,##0_);_(&quot;$&quot;* \(#,##0\);_(&quot;$&quot;* &quot;-&quot;??_);_(@_)">
                  <c:v>14743933.592112854</c:v>
                </c:pt>
                <c:pt idx="28" formatCode="_(&quot;$&quot;* #,##0_);_(&quot;$&quot;* \(#,##0\);_(&quot;$&quot;* &quot;-&quot;??_);_(@_)">
                  <c:v>14743933.592112854</c:v>
                </c:pt>
                <c:pt idx="29" formatCode="_(&quot;$&quot;* #,##0_);_(&quot;$&quot;* \(#,##0\);_(&quot;$&quot;* &quot;-&quot;??_);_(@_)">
                  <c:v>14743933.592112854</c:v>
                </c:pt>
                <c:pt idx="30" formatCode="_(&quot;$&quot;* #,##0_);_(&quot;$&quot;* \(#,##0\);_(&quot;$&quot;* &quot;-&quot;??_);_(@_)">
                  <c:v>14743933.592112854</c:v>
                </c:pt>
                <c:pt idx="31" formatCode="_(&quot;$&quot;* #,##0_);_(&quot;$&quot;* \(#,##0\);_(&quot;$&quot;* &quot;-&quot;??_);_(@_)">
                  <c:v>14743933.592112854</c:v>
                </c:pt>
                <c:pt idx="32" formatCode="_(&quot;$&quot;* #,##0_);_(&quot;$&quot;* \(#,##0\);_(&quot;$&quot;* &quot;-&quot;??_);_(@_)">
                  <c:v>14743933.592112854</c:v>
                </c:pt>
                <c:pt idx="33" formatCode="_(&quot;$&quot;* #,##0_);_(&quot;$&quot;* \(#,##0\);_(&quot;$&quot;* &quot;-&quot;??_);_(@_)">
                  <c:v>14743933.592112854</c:v>
                </c:pt>
                <c:pt idx="34" formatCode="_(&quot;$&quot;* #,##0_);_(&quot;$&quot;* \(#,##0\);_(&quot;$&quot;* &quot;-&quot;??_);_(@_)">
                  <c:v>0</c:v>
                </c:pt>
              </c:numCache>
            </c:numRef>
          </c:val>
        </c:ser>
        <c:ser>
          <c:idx val="2"/>
          <c:order val="2"/>
          <c:tx>
            <c:strRef>
              <c:f>'Debt Service 2000-2032'!$N$46</c:f>
              <c:strCache>
                <c:ptCount val="1"/>
                <c:pt idx="0">
                  <c:v>2013-15 New Capital Projects*</c:v>
                </c:pt>
              </c:strCache>
            </c:strRef>
          </c:tx>
          <c:spPr>
            <a:ln w="25400">
              <a:noFill/>
            </a:ln>
          </c:spPr>
          <c:cat>
            <c:numRef>
              <c:f>'Debt Service 2000-2032'!$B$4:$AK$4</c:f>
              <c:numCache>
                <c:formatCode>General</c:formatCode>
                <c:ptCount val="3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numCache>
            </c:numRef>
          </c:cat>
          <c:val>
            <c:numRef>
              <c:f>'Debt Service 2000-2032'!$B$81:$AK$81</c:f>
              <c:numCache>
                <c:formatCode>General</c:formatCode>
                <c:ptCount val="36"/>
                <c:pt idx="15" formatCode="_(&quot;$&quot;* #,##0_);_(&quot;$&quot;* \(#,##0\);_(&quot;$&quot;* &quot;-&quot;??_);_(@_)">
                  <c:v>0</c:v>
                </c:pt>
                <c:pt idx="16" formatCode="_(&quot;$&quot;* #,##0_);_(&quot;$&quot;* \(#,##0\);_(&quot;$&quot;* &quot;-&quot;??_);_(@_)">
                  <c:v>0</c:v>
                </c:pt>
                <c:pt idx="17" formatCode="_(&quot;$&quot;* #,##0_);_(&quot;$&quot;* \(#,##0\);_(&quot;$&quot;* &quot;-&quot;??_);_(@_)">
                  <c:v>0</c:v>
                </c:pt>
                <c:pt idx="18" formatCode="_(&quot;$&quot;* #,##0_);_(&quot;$&quot;* \(#,##0\);_(&quot;$&quot;* &quot;-&quot;??_);_(@_)">
                  <c:v>0</c:v>
                </c:pt>
                <c:pt idx="19" formatCode="_(&quot;$&quot;* #,##0_);_(&quot;$&quot;* \(#,##0\);_(&quot;$&quot;* &quot;-&quot;??_);_(@_)">
                  <c:v>0</c:v>
                </c:pt>
                <c:pt idx="20" formatCode="_(&quot;$&quot;* #,##0_);_(&quot;$&quot;* \(#,##0\);_(&quot;$&quot;* &quot;-&quot;??_);_(@_)">
                  <c:v>0</c:v>
                </c:pt>
                <c:pt idx="21" formatCode="_(&quot;$&quot;* #,##0_);_(&quot;$&quot;* \(#,##0\);_(&quot;$&quot;* &quot;-&quot;??_);_(@_)">
                  <c:v>0</c:v>
                </c:pt>
                <c:pt idx="22" formatCode="_(&quot;$&quot;* #,##0_);_(&quot;$&quot;* \(#,##0\);_(&quot;$&quot;* &quot;-&quot;??_);_(@_)">
                  <c:v>0</c:v>
                </c:pt>
                <c:pt idx="23" formatCode="_(&quot;$&quot;* #,##0_);_(&quot;$&quot;* \(#,##0\);_(&quot;$&quot;* &quot;-&quot;??_);_(@_)">
                  <c:v>0</c:v>
                </c:pt>
                <c:pt idx="24" formatCode="_(&quot;$&quot;* #,##0_);_(&quot;$&quot;* \(#,##0\);_(&quot;$&quot;* &quot;-&quot;??_);_(@_)">
                  <c:v>0</c:v>
                </c:pt>
                <c:pt idx="25" formatCode="_(&quot;$&quot;* #,##0_);_(&quot;$&quot;* \(#,##0\);_(&quot;$&quot;* &quot;-&quot;??_);_(@_)">
                  <c:v>0</c:v>
                </c:pt>
                <c:pt idx="26" formatCode="_(&quot;$&quot;* #,##0_);_(&quot;$&quot;* \(#,##0\);_(&quot;$&quot;* &quot;-&quot;??_);_(@_)">
                  <c:v>0</c:v>
                </c:pt>
                <c:pt idx="27" formatCode="_(&quot;$&quot;* #,##0_);_(&quot;$&quot;* \(#,##0\);_(&quot;$&quot;* &quot;-&quot;??_);_(@_)">
                  <c:v>0</c:v>
                </c:pt>
                <c:pt idx="28" formatCode="_(&quot;$&quot;* #,##0_);_(&quot;$&quot;* \(#,##0\);_(&quot;$&quot;* &quot;-&quot;??_);_(@_)">
                  <c:v>0</c:v>
                </c:pt>
                <c:pt idx="29" formatCode="_(&quot;$&quot;* #,##0_);_(&quot;$&quot;* \(#,##0\);_(&quot;$&quot;* &quot;-&quot;??_);_(@_)">
                  <c:v>0</c:v>
                </c:pt>
                <c:pt idx="30" formatCode="_(&quot;$&quot;* #,##0_);_(&quot;$&quot;* \(#,##0\);_(&quot;$&quot;* &quot;-&quot;??_);_(@_)">
                  <c:v>0</c:v>
                </c:pt>
                <c:pt idx="31" formatCode="_(&quot;$&quot;* #,##0_);_(&quot;$&quot;* \(#,##0\);_(&quot;$&quot;* &quot;-&quot;??_);_(@_)">
                  <c:v>0</c:v>
                </c:pt>
                <c:pt idx="32" formatCode="_(&quot;$&quot;* #,##0_);_(&quot;$&quot;* \(#,##0\);_(&quot;$&quot;* &quot;-&quot;??_);_(@_)">
                  <c:v>0</c:v>
                </c:pt>
                <c:pt idx="33" formatCode="_(&quot;$&quot;* #,##0_);_(&quot;$&quot;* \(#,##0\);_(&quot;$&quot;* &quot;-&quot;??_);_(@_)">
                  <c:v>0</c:v>
                </c:pt>
                <c:pt idx="34" formatCode="_(&quot;$&quot;* #,##0_);_(&quot;$&quot;* \(#,##0\);_(&quot;$&quot;* &quot;-&quot;??_);_(@_)">
                  <c:v>0</c:v>
                </c:pt>
              </c:numCache>
            </c:numRef>
          </c:val>
        </c:ser>
        <c:dLbls>
          <c:showLegendKey val="0"/>
          <c:showVal val="0"/>
          <c:showCatName val="0"/>
          <c:showSerName val="0"/>
          <c:showPercent val="0"/>
          <c:showBubbleSize val="0"/>
        </c:dLbls>
        <c:axId val="155988480"/>
        <c:axId val="132123456"/>
      </c:areaChart>
      <c:catAx>
        <c:axId val="155988480"/>
        <c:scaling>
          <c:orientation val="minMax"/>
        </c:scaling>
        <c:delete val="0"/>
        <c:axPos val="b"/>
        <c:numFmt formatCode="General" sourceLinked="1"/>
        <c:majorTickMark val="out"/>
        <c:minorTickMark val="none"/>
        <c:tickLblPos val="nextTo"/>
        <c:txPr>
          <a:bodyPr rot="5400000"/>
          <a:lstStyle/>
          <a:p>
            <a:pPr>
              <a:defRPr/>
            </a:pPr>
            <a:endParaRPr lang="en-US"/>
          </a:p>
        </c:txPr>
        <c:crossAx val="132123456"/>
        <c:crosses val="autoZero"/>
        <c:auto val="1"/>
        <c:lblAlgn val="ctr"/>
        <c:lblOffset val="100"/>
        <c:noMultiLvlLbl val="0"/>
      </c:catAx>
      <c:valAx>
        <c:axId val="132123456"/>
        <c:scaling>
          <c:orientation val="minMax"/>
          <c:min val="0"/>
        </c:scaling>
        <c:delete val="0"/>
        <c:axPos val="l"/>
        <c:majorGridlines/>
        <c:numFmt formatCode="_(&quot;$&quot;* #,##0_);_(&quot;$&quot;* \(#,##0\);_(&quot;$&quot;* &quot;-&quot;??_);_(@_)" sourceLinked="1"/>
        <c:majorTickMark val="out"/>
        <c:minorTickMark val="none"/>
        <c:tickLblPos val="nextTo"/>
        <c:crossAx val="155988480"/>
        <c:crosses val="autoZero"/>
        <c:crossBetween val="midCat"/>
        <c:majorUnit val="20000000"/>
      </c:valAx>
    </c:plotArea>
    <c:legend>
      <c:legendPos val="b"/>
      <c:layout>
        <c:manualLayout>
          <c:xMode val="edge"/>
          <c:yMode val="edge"/>
          <c:x val="0.1111784320152925"/>
          <c:y val="0.94792594058240365"/>
          <c:w val="0.7605634783694577"/>
          <c:h val="3.9071111556477411E-2"/>
        </c:manualLayout>
      </c:layout>
      <c:overlay val="0"/>
    </c:legend>
    <c:plotVisOnly val="1"/>
    <c:dispBlanksAs val="zero"/>
    <c:showDLblsOverMax val="0"/>
  </c:chart>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Higher</a:t>
            </a:r>
            <a:r>
              <a:rPr lang="en-US" baseline="0"/>
              <a:t> Education Outstanding Debt - State Projects Only</a:t>
            </a:r>
            <a:endParaRPr lang="en-US"/>
          </a:p>
        </c:rich>
      </c:tx>
      <c:overlay val="0"/>
    </c:title>
    <c:autoTitleDeleted val="0"/>
    <c:plotArea>
      <c:layout/>
      <c:areaChart>
        <c:grouping val="stacked"/>
        <c:varyColors val="0"/>
        <c:ser>
          <c:idx val="0"/>
          <c:order val="0"/>
          <c:tx>
            <c:strRef>
              <c:f>'Total Outstanding Debt'!$B$123</c:f>
              <c:strCache>
                <c:ptCount val="1"/>
                <c:pt idx="0">
                  <c:v>CURRENT OUTSTANDING DEBT</c:v>
                </c:pt>
              </c:strCache>
            </c:strRef>
          </c:tx>
          <c:spPr>
            <a:ln w="25400">
              <a:noFill/>
            </a:ln>
          </c:spPr>
          <c:cat>
            <c:numRef>
              <c:f>'Total Outstanding Debt'!$C$4:$Z$4</c:f>
              <c:numCache>
                <c:formatCode>General</c:formatCode>
                <c:ptCount val="24"/>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numCache>
            </c:numRef>
          </c:cat>
          <c:val>
            <c:numRef>
              <c:f>'Total Outstanding Debt'!$C$123:$Z$123</c:f>
              <c:numCache>
                <c:formatCode>_("$"* #,##0_);_("$"* \(#,##0\);_("$"* "-"??_);_(@_)</c:formatCode>
                <c:ptCount val="24"/>
                <c:pt idx="0">
                  <c:v>1299049934</c:v>
                </c:pt>
                <c:pt idx="1">
                  <c:v>1249101717</c:v>
                </c:pt>
                <c:pt idx="2">
                  <c:v>1178470605.0553076</c:v>
                </c:pt>
                <c:pt idx="3">
                  <c:v>1089355627.2152457</c:v>
                </c:pt>
                <c:pt idx="4">
                  <c:v>1028151172.91293</c:v>
                </c:pt>
                <c:pt idx="5">
                  <c:v>906274421.4107312</c:v>
                </c:pt>
                <c:pt idx="6">
                  <c:v>815215750.53215587</c:v>
                </c:pt>
                <c:pt idx="7">
                  <c:v>724231565.92556262</c:v>
                </c:pt>
                <c:pt idx="8">
                  <c:v>637944558.62659013</c:v>
                </c:pt>
                <c:pt idx="9">
                  <c:v>555076069.36542678</c:v>
                </c:pt>
                <c:pt idx="10">
                  <c:v>470596324.60424662</c:v>
                </c:pt>
                <c:pt idx="11">
                  <c:v>400031144.28929847</c:v>
                </c:pt>
                <c:pt idx="12">
                  <c:v>330655086.30124086</c:v>
                </c:pt>
                <c:pt idx="13">
                  <c:v>266979046.58636993</c:v>
                </c:pt>
                <c:pt idx="14">
                  <c:v>204310966.95039392</c:v>
                </c:pt>
                <c:pt idx="15">
                  <c:v>145191931.49534929</c:v>
                </c:pt>
                <c:pt idx="16">
                  <c:v>89607470.679139599</c:v>
                </c:pt>
                <c:pt idx="17">
                  <c:v>55533218.975997843</c:v>
                </c:pt>
                <c:pt idx="18">
                  <c:v>32849235.114925437</c:v>
                </c:pt>
                <c:pt idx="19">
                  <c:v>14226360.871841365</c:v>
                </c:pt>
                <c:pt idx="20">
                  <c:v>6094353.3897799617</c:v>
                </c:pt>
                <c:pt idx="21">
                  <c:v>609000.00000002701</c:v>
                </c:pt>
                <c:pt idx="22">
                  <c:v>0</c:v>
                </c:pt>
                <c:pt idx="23">
                  <c:v>0</c:v>
                </c:pt>
              </c:numCache>
            </c:numRef>
          </c:val>
        </c:ser>
        <c:ser>
          <c:idx val="1"/>
          <c:order val="1"/>
          <c:tx>
            <c:strRef>
              <c:f>'Total Outstanding Debt'!$B$124</c:f>
              <c:strCache>
                <c:ptCount val="1"/>
                <c:pt idx="0">
                  <c:v>POTENTIAL NEW DEBT ISSUED FOR STATE FUNDED PROJECTS</c:v>
                </c:pt>
              </c:strCache>
            </c:strRef>
          </c:tx>
          <c:spPr>
            <a:ln w="25400">
              <a:noFill/>
            </a:ln>
          </c:spPr>
          <c:cat>
            <c:numRef>
              <c:f>'Total Outstanding Debt'!$C$4:$Z$4</c:f>
              <c:numCache>
                <c:formatCode>General</c:formatCode>
                <c:ptCount val="24"/>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numCache>
            </c:numRef>
          </c:cat>
          <c:val>
            <c:numRef>
              <c:f>'Total Outstanding Debt'!$C$124:$Z$124</c:f>
              <c:numCache>
                <c:formatCode>_("$"* #,##0_);_("$"* \(#,##0\);_("$"* "-"??_);_(@_)</c:formatCode>
                <c:ptCount val="24"/>
                <c:pt idx="0">
                  <c:v>0</c:v>
                </c:pt>
                <c:pt idx="1">
                  <c:v>0</c:v>
                </c:pt>
                <c:pt idx="2">
                  <c:v>0</c:v>
                </c:pt>
                <c:pt idx="3">
                  <c:v>167778557.15788716</c:v>
                </c:pt>
                <c:pt idx="4">
                  <c:v>162681890.60235286</c:v>
                </c:pt>
                <c:pt idx="5">
                  <c:v>157292165.71987534</c:v>
                </c:pt>
                <c:pt idx="6">
                  <c:v>151592531.65665531</c:v>
                </c:pt>
                <c:pt idx="7">
                  <c:v>145565168.63480017</c:v>
                </c:pt>
                <c:pt idx="8">
                  <c:v>139191232.23918834</c:v>
                </c:pt>
                <c:pt idx="9">
                  <c:v>132450794.50082883</c:v>
                </c:pt>
                <c:pt idx="10">
                  <c:v>125322781.59251365</c:v>
                </c:pt>
                <c:pt idx="11">
                  <c:v>117784907.94197035</c:v>
                </c:pt>
                <c:pt idx="12">
                  <c:v>109813606.5565208</c:v>
                </c:pt>
                <c:pt idx="13">
                  <c:v>101383955.3414079</c:v>
                </c:pt>
                <c:pt idx="14">
                  <c:v>92469599.181426004</c:v>
                </c:pt>
                <c:pt idx="15">
                  <c:v>83042667.54224515</c:v>
                </c:pt>
                <c:pt idx="16">
                  <c:v>73073687.333811402</c:v>
                </c:pt>
                <c:pt idx="17">
                  <c:v>62531490.763392717</c:v>
                </c:pt>
                <c:pt idx="18">
                  <c:v>51383117.89017494</c:v>
                </c:pt>
                <c:pt idx="19">
                  <c:v>39593713.576747157</c:v>
                </c:pt>
                <c:pt idx="20">
                  <c:v>27126418.515297268</c:v>
                </c:pt>
                <c:pt idx="21">
                  <c:v>13942253.987814009</c:v>
                </c:pt>
                <c:pt idx="22">
                  <c:v>4.6280911192297935E-7</c:v>
                </c:pt>
                <c:pt idx="23">
                  <c:v>-2024536.9220928198</c:v>
                </c:pt>
              </c:numCache>
            </c:numRef>
          </c:val>
        </c:ser>
        <c:dLbls>
          <c:showLegendKey val="0"/>
          <c:showVal val="0"/>
          <c:showCatName val="0"/>
          <c:showSerName val="0"/>
          <c:showPercent val="0"/>
          <c:showBubbleSize val="0"/>
        </c:dLbls>
        <c:axId val="155991040"/>
        <c:axId val="132128064"/>
      </c:areaChart>
      <c:catAx>
        <c:axId val="155991040"/>
        <c:scaling>
          <c:orientation val="minMax"/>
        </c:scaling>
        <c:delete val="0"/>
        <c:axPos val="b"/>
        <c:numFmt formatCode="General" sourceLinked="1"/>
        <c:majorTickMark val="out"/>
        <c:minorTickMark val="none"/>
        <c:tickLblPos val="nextTo"/>
        <c:txPr>
          <a:bodyPr rot="5400000"/>
          <a:lstStyle/>
          <a:p>
            <a:pPr>
              <a:defRPr/>
            </a:pPr>
            <a:endParaRPr lang="en-US"/>
          </a:p>
        </c:txPr>
        <c:crossAx val="132128064"/>
        <c:crosses val="autoZero"/>
        <c:auto val="1"/>
        <c:lblAlgn val="ctr"/>
        <c:lblOffset val="100"/>
        <c:noMultiLvlLbl val="0"/>
      </c:catAx>
      <c:valAx>
        <c:axId val="132128064"/>
        <c:scaling>
          <c:orientation val="minMax"/>
          <c:min val="0"/>
        </c:scaling>
        <c:delete val="0"/>
        <c:axPos val="l"/>
        <c:majorGridlines/>
        <c:numFmt formatCode="_(&quot;$&quot;* #,##0_);_(&quot;$&quot;* \(#,##0\);_(&quot;$&quot;* &quot;-&quot;??_);_(@_)" sourceLinked="1"/>
        <c:majorTickMark val="out"/>
        <c:minorTickMark val="none"/>
        <c:tickLblPos val="nextTo"/>
        <c:crossAx val="155991040"/>
        <c:crosses val="autoZero"/>
        <c:crossBetween val="midCat"/>
        <c:majorUnit val="75000000"/>
      </c:valAx>
    </c:plotArea>
    <c:legend>
      <c:legendPos val="b"/>
      <c:layout>
        <c:manualLayout>
          <c:xMode val="edge"/>
          <c:yMode val="edge"/>
          <c:x val="0.17827520001152741"/>
          <c:y val="0.94360461130069073"/>
          <c:w val="0.7605634783694577"/>
          <c:h val="3.9071111556477418E-2"/>
        </c:manualLayout>
      </c:layout>
      <c:overlay val="0"/>
    </c:legend>
    <c:plotVisOnly val="1"/>
    <c:dispBlanksAs val="zero"/>
    <c:showDLblsOverMax val="0"/>
  </c:chart>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State Operating Approp per Resident FTE (UG</a:t>
            </a:r>
            <a:r>
              <a:rPr lang="en-US" baseline="0"/>
              <a:t> and Grad)</a:t>
            </a:r>
            <a:endParaRPr lang="en-US"/>
          </a:p>
        </c:rich>
      </c:tx>
      <c:overlay val="0"/>
    </c:title>
    <c:autoTitleDeleted val="0"/>
    <c:plotArea>
      <c:layout/>
      <c:lineChart>
        <c:grouping val="standard"/>
        <c:varyColors val="0"/>
        <c:ser>
          <c:idx val="0"/>
          <c:order val="0"/>
          <c:tx>
            <c:strRef>
              <c:f>'Ops Funding per FTE Impact'!$B$90</c:f>
              <c:strCache>
                <c:ptCount val="1"/>
                <c:pt idx="0">
                  <c:v>USI</c:v>
                </c:pt>
              </c:strCache>
            </c:strRef>
          </c:tx>
          <c:marker>
            <c:symbol val="none"/>
          </c:marker>
          <c:cat>
            <c:numRef>
              <c:f>'Ops Funding per FTE Impact'!$A$91:$A$107</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'Ops Funding per FTE Impact'!$B$91:$B$107</c:f>
              <c:numCache>
                <c:formatCode>"$"#,##0_);\("$"#,##0\)</c:formatCode>
                <c:ptCount val="9"/>
                <c:pt idx="0">
                  <c:v>4568.9069818738562</c:v>
                </c:pt>
                <c:pt idx="1">
                  <c:v>4916.3544426030558</c:v>
                </c:pt>
                <c:pt idx="2">
                  <c:v>5142.4715739078401</c:v>
                </c:pt>
                <c:pt idx="3">
                  <c:v>4792.6426651282118</c:v>
                </c:pt>
                <c:pt idx="4">
                  <c:v>4845.0068644791027</c:v>
                </c:pt>
                <c:pt idx="5">
                  <c:v>4960.9148928275463</c:v>
                </c:pt>
                <c:pt idx="6">
                  <c:v>4960.9148928275463</c:v>
                </c:pt>
                <c:pt idx="7">
                  <c:v>5212.9044733728288</c:v>
                </c:pt>
                <c:pt idx="8">
                  <c:v>5212.9044733728288</c:v>
                </c:pt>
              </c:numCache>
            </c:numRef>
          </c:val>
          <c:smooth val="0"/>
        </c:ser>
        <c:ser>
          <c:idx val="1"/>
          <c:order val="1"/>
          <c:tx>
            <c:strRef>
              <c:f>'Ops Funding per FTE Impact'!$C$90</c:f>
              <c:strCache>
                <c:ptCount val="1"/>
                <c:pt idx="0">
                  <c:v>BSU</c:v>
                </c:pt>
              </c:strCache>
            </c:strRef>
          </c:tx>
          <c:marker>
            <c:symbol val="none"/>
          </c:marker>
          <c:cat>
            <c:numRef>
              <c:f>'Ops Funding per FTE Impact'!$A$91:$A$107</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'Ops Funding per FTE Impact'!$C$91:$C$107</c:f>
              <c:numCache>
                <c:formatCode>"$"#,##0_);\("$"#,##0\)</c:formatCode>
                <c:ptCount val="9"/>
                <c:pt idx="0">
                  <c:v>7647.2924830403472</c:v>
                </c:pt>
                <c:pt idx="1">
                  <c:v>7948.0161346483601</c:v>
                </c:pt>
                <c:pt idx="2">
                  <c:v>8113.6717175523281</c:v>
                </c:pt>
                <c:pt idx="3">
                  <c:v>7416.27378499719</c:v>
                </c:pt>
                <c:pt idx="4">
                  <c:v>7234.8059936222098</c:v>
                </c:pt>
                <c:pt idx="5">
                  <c:v>6861.4681539045077</c:v>
                </c:pt>
                <c:pt idx="6">
                  <c:v>6861.4681539045077</c:v>
                </c:pt>
                <c:pt idx="7">
                  <c:v>6818.1318853096282</c:v>
                </c:pt>
                <c:pt idx="8">
                  <c:v>6818.1318853096282</c:v>
                </c:pt>
              </c:numCache>
            </c:numRef>
          </c:val>
          <c:smooth val="0"/>
        </c:ser>
        <c:ser>
          <c:idx val="2"/>
          <c:order val="2"/>
          <c:tx>
            <c:strRef>
              <c:f>'Ops Funding per FTE Impact'!$D$90</c:f>
              <c:strCache>
                <c:ptCount val="1"/>
                <c:pt idx="0">
                  <c:v>ISU</c:v>
                </c:pt>
              </c:strCache>
            </c:strRef>
          </c:tx>
          <c:marker>
            <c:symbol val="none"/>
          </c:marker>
          <c:cat>
            <c:numRef>
              <c:f>'Ops Funding per FTE Impact'!$A$91:$A$107</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'Ops Funding per FTE Impact'!$D$91:$D$107</c:f>
              <c:numCache>
                <c:formatCode>"$"#,##0_);\("$"#,##0\)</c:formatCode>
                <c:ptCount val="9"/>
                <c:pt idx="0">
                  <c:v>9466.4462005456153</c:v>
                </c:pt>
                <c:pt idx="1">
                  <c:v>9787.0692155914749</c:v>
                </c:pt>
                <c:pt idx="2">
                  <c:v>10313.397564834928</c:v>
                </c:pt>
                <c:pt idx="3">
                  <c:v>9609.7072361875707</c:v>
                </c:pt>
                <c:pt idx="4">
                  <c:v>8736.0780841657906</c:v>
                </c:pt>
                <c:pt idx="5">
                  <c:v>8261.5444642551829</c:v>
                </c:pt>
                <c:pt idx="6">
                  <c:v>8261.5444642551829</c:v>
                </c:pt>
                <c:pt idx="7">
                  <c:v>8219.7483001713754</c:v>
                </c:pt>
                <c:pt idx="8">
                  <c:v>8219.7483001713754</c:v>
                </c:pt>
              </c:numCache>
            </c:numRef>
          </c:val>
          <c:smooth val="0"/>
        </c:ser>
        <c:ser>
          <c:idx val="3"/>
          <c:order val="3"/>
          <c:tx>
            <c:strRef>
              <c:f>'Ops Funding per FTE Impact'!$E$90</c:f>
              <c:strCache>
                <c:ptCount val="1"/>
                <c:pt idx="0">
                  <c:v>Vincennes</c:v>
                </c:pt>
              </c:strCache>
            </c:strRef>
          </c:tx>
          <c:marker>
            <c:symbol val="none"/>
          </c:marker>
          <c:cat>
            <c:numRef>
              <c:f>'Ops Funding per FTE Impact'!$A$91:$A$107</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'Ops Funding per FTE Impact'!$E$91:$E$107</c:f>
              <c:numCache>
                <c:formatCode>"$"#,##0_);\("$"#,##0\)</c:formatCode>
                <c:ptCount val="9"/>
                <c:pt idx="0">
                  <c:v>6503.7016061315271</c:v>
                </c:pt>
                <c:pt idx="1">
                  <c:v>6352.8701157619589</c:v>
                </c:pt>
                <c:pt idx="2">
                  <c:v>6356.4819013751367</c:v>
                </c:pt>
                <c:pt idx="3">
                  <c:v>5523.9747866906791</c:v>
                </c:pt>
                <c:pt idx="4">
                  <c:v>5354.0838156114132</c:v>
                </c:pt>
                <c:pt idx="5">
                  <c:v>5370.1848492701047</c:v>
                </c:pt>
                <c:pt idx="6">
                  <c:v>5370.1848492701047</c:v>
                </c:pt>
                <c:pt idx="7">
                  <c:v>5618.3496717041498</c:v>
                </c:pt>
                <c:pt idx="8">
                  <c:v>5618.3496717041498</c:v>
                </c:pt>
              </c:numCache>
            </c:numRef>
          </c:val>
          <c:smooth val="0"/>
        </c:ser>
        <c:ser>
          <c:idx val="4"/>
          <c:order val="4"/>
          <c:tx>
            <c:strRef>
              <c:f>'Ops Funding per FTE Impact'!$F$90</c:f>
              <c:strCache>
                <c:ptCount val="1"/>
                <c:pt idx="0">
                  <c:v>Ivy Tech</c:v>
                </c:pt>
              </c:strCache>
            </c:strRef>
          </c:tx>
          <c:marker>
            <c:symbol val="none"/>
          </c:marker>
          <c:cat>
            <c:numRef>
              <c:f>'Ops Funding per FTE Impact'!$A$91:$A$107</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'Ops Funding per FTE Impact'!$F$91:$F$107</c:f>
              <c:numCache>
                <c:formatCode>"$"#,##0_);\("$"#,##0\)</c:formatCode>
                <c:ptCount val="9"/>
                <c:pt idx="0">
                  <c:v>3339.26270870179</c:v>
                </c:pt>
                <c:pt idx="1">
                  <c:v>3292.7662258672531</c:v>
                </c:pt>
                <c:pt idx="2">
                  <c:v>3182.4498085612504</c:v>
                </c:pt>
                <c:pt idx="3">
                  <c:v>2462.6218773355859</c:v>
                </c:pt>
                <c:pt idx="4">
                  <c:v>2493.5783913327095</c:v>
                </c:pt>
                <c:pt idx="5">
                  <c:v>2643.5511642417537</c:v>
                </c:pt>
                <c:pt idx="6">
                  <c:v>2643.5511642417537</c:v>
                </c:pt>
                <c:pt idx="7">
                  <c:v>2840.6178644672282</c:v>
                </c:pt>
                <c:pt idx="8">
                  <c:v>2840.6178644672282</c:v>
                </c:pt>
              </c:numCache>
            </c:numRef>
          </c:val>
          <c:smooth val="0"/>
        </c:ser>
        <c:ser>
          <c:idx val="5"/>
          <c:order val="5"/>
          <c:tx>
            <c:strRef>
              <c:f>'Ops Funding per FTE Impact'!$G$90</c:f>
              <c:strCache>
                <c:ptCount val="1"/>
                <c:pt idx="0">
                  <c:v>IU Bloom</c:v>
                </c:pt>
              </c:strCache>
            </c:strRef>
          </c:tx>
          <c:marker>
            <c:symbol val="none"/>
          </c:marker>
          <c:cat>
            <c:numRef>
              <c:f>'Ops Funding per FTE Impact'!$A$91:$A$107</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'Ops Funding per FTE Impact'!$G$91:$G$107</c:f>
              <c:numCache>
                <c:formatCode>"$"#,##0_);\("$"#,##0\)</c:formatCode>
                <c:ptCount val="9"/>
                <c:pt idx="0">
                  <c:v>8875.6122316802375</c:v>
                </c:pt>
                <c:pt idx="1">
                  <c:v>9097.322947372375</c:v>
                </c:pt>
                <c:pt idx="2">
                  <c:v>9266.7010077771611</c:v>
                </c:pt>
                <c:pt idx="3">
                  <c:v>8696.9279645891347</c:v>
                </c:pt>
                <c:pt idx="4">
                  <c:v>8462.9045587902401</c:v>
                </c:pt>
                <c:pt idx="5">
                  <c:v>8001.2276021855196</c:v>
                </c:pt>
                <c:pt idx="6">
                  <c:v>8001.2276021855196</c:v>
                </c:pt>
                <c:pt idx="7">
                  <c:v>8202.1492018751196</c:v>
                </c:pt>
                <c:pt idx="8">
                  <c:v>8202.1492018751196</c:v>
                </c:pt>
              </c:numCache>
            </c:numRef>
          </c:val>
          <c:smooth val="0"/>
        </c:ser>
        <c:ser>
          <c:idx val="6"/>
          <c:order val="6"/>
          <c:tx>
            <c:strRef>
              <c:f>'Ops Funding per FTE Impact'!$H$90</c:f>
              <c:strCache>
                <c:ptCount val="1"/>
                <c:pt idx="0">
                  <c:v>IU East</c:v>
                </c:pt>
              </c:strCache>
            </c:strRef>
          </c:tx>
          <c:marker>
            <c:symbol val="none"/>
          </c:marker>
          <c:cat>
            <c:numRef>
              <c:f>'Ops Funding per FTE Impact'!$A$91:$A$107</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'Ops Funding per FTE Impact'!$H$91:$H$107</c:f>
              <c:numCache>
                <c:formatCode>"$"#,##0_);\("$"#,##0\)</c:formatCode>
                <c:ptCount val="9"/>
                <c:pt idx="0">
                  <c:v>5596.4807302231229</c:v>
                </c:pt>
                <c:pt idx="1">
                  <c:v>5702.0894564131831</c:v>
                </c:pt>
                <c:pt idx="2">
                  <c:v>5400.1278307702296</c:v>
                </c:pt>
                <c:pt idx="3">
                  <c:v>4496.0464329989854</c:v>
                </c:pt>
                <c:pt idx="4">
                  <c:v>4170.0580934776872</c:v>
                </c:pt>
                <c:pt idx="5">
                  <c:v>4399.7470293107999</c:v>
                </c:pt>
                <c:pt idx="6">
                  <c:v>4399.7470293107999</c:v>
                </c:pt>
                <c:pt idx="7">
                  <c:v>4747.2285539521163</c:v>
                </c:pt>
                <c:pt idx="8">
                  <c:v>4747.2285539521163</c:v>
                </c:pt>
              </c:numCache>
            </c:numRef>
          </c:val>
          <c:smooth val="0"/>
        </c:ser>
        <c:ser>
          <c:idx val="7"/>
          <c:order val="7"/>
          <c:tx>
            <c:strRef>
              <c:f>'Ops Funding per FTE Impact'!$I$90</c:f>
              <c:strCache>
                <c:ptCount val="1"/>
                <c:pt idx="0">
                  <c:v>IU Kokomo</c:v>
                </c:pt>
              </c:strCache>
            </c:strRef>
          </c:tx>
          <c:marker>
            <c:symbol val="none"/>
          </c:marker>
          <c:cat>
            <c:numRef>
              <c:f>'Ops Funding per FTE Impact'!$A$91:$A$107</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'Ops Funding per FTE Impact'!$I$91:$I$107</c:f>
              <c:numCache>
                <c:formatCode>"$"#,##0_);\("$"#,##0\)</c:formatCode>
                <c:ptCount val="9"/>
                <c:pt idx="0">
                  <c:v>5322.6691551443146</c:v>
                </c:pt>
                <c:pt idx="1">
                  <c:v>5459.5234832112174</c:v>
                </c:pt>
                <c:pt idx="2">
                  <c:v>5944.3098142653043</c:v>
                </c:pt>
                <c:pt idx="3">
                  <c:v>5149.4251793222857</c:v>
                </c:pt>
                <c:pt idx="4">
                  <c:v>5016.7264704456193</c:v>
                </c:pt>
                <c:pt idx="5">
                  <c:v>5505.8342627163856</c:v>
                </c:pt>
                <c:pt idx="6">
                  <c:v>5505.8342627163856</c:v>
                </c:pt>
                <c:pt idx="7">
                  <c:v>5850.2576900741888</c:v>
                </c:pt>
                <c:pt idx="8">
                  <c:v>5850.2576900741888</c:v>
                </c:pt>
              </c:numCache>
            </c:numRef>
          </c:val>
          <c:smooth val="0"/>
        </c:ser>
        <c:ser>
          <c:idx val="8"/>
          <c:order val="8"/>
          <c:tx>
            <c:strRef>
              <c:f>'Ops Funding per FTE Impact'!$J$90</c:f>
              <c:strCache>
                <c:ptCount val="1"/>
                <c:pt idx="0">
                  <c:v>IU NW</c:v>
                </c:pt>
              </c:strCache>
            </c:strRef>
          </c:tx>
          <c:marker>
            <c:symbol val="none"/>
          </c:marker>
          <c:cat>
            <c:numRef>
              <c:f>'Ops Funding per FTE Impact'!$A$91:$A$107</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'Ops Funding per FTE Impact'!$J$91:$J$107</c:f>
              <c:numCache>
                <c:formatCode>"$"#,##0_);\("$"#,##0\)</c:formatCode>
                <c:ptCount val="9"/>
                <c:pt idx="0">
                  <c:v>4862.3799900337744</c:v>
                </c:pt>
                <c:pt idx="1">
                  <c:v>5029.4504998023376</c:v>
                </c:pt>
                <c:pt idx="2">
                  <c:v>4867.6178412612853</c:v>
                </c:pt>
                <c:pt idx="3">
                  <c:v>4056.9772256728775</c:v>
                </c:pt>
                <c:pt idx="4">
                  <c:v>3765.1358375724722</c:v>
                </c:pt>
                <c:pt idx="5">
                  <c:v>3615.3826332274466</c:v>
                </c:pt>
                <c:pt idx="6">
                  <c:v>3615.3826332274466</c:v>
                </c:pt>
                <c:pt idx="7">
                  <c:v>3714.2050323211224</c:v>
                </c:pt>
                <c:pt idx="8">
                  <c:v>3714.2050323211224</c:v>
                </c:pt>
              </c:numCache>
            </c:numRef>
          </c:val>
          <c:smooth val="0"/>
        </c:ser>
        <c:ser>
          <c:idx val="9"/>
          <c:order val="9"/>
          <c:tx>
            <c:strRef>
              <c:f>'Ops Funding per FTE Impact'!$K$90</c:f>
              <c:strCache>
                <c:ptCount val="1"/>
                <c:pt idx="0">
                  <c:v>IU S Bend</c:v>
                </c:pt>
              </c:strCache>
            </c:strRef>
          </c:tx>
          <c:marker>
            <c:symbol val="none"/>
          </c:marker>
          <c:cat>
            <c:numRef>
              <c:f>'Ops Funding per FTE Impact'!$A$91:$A$107</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'Ops Funding per FTE Impact'!$K$91:$K$107</c:f>
              <c:numCache>
                <c:formatCode>"$"#,##0_);\("$"#,##0\)</c:formatCode>
                <c:ptCount val="9"/>
                <c:pt idx="0">
                  <c:v>4798.5329533767572</c:v>
                </c:pt>
                <c:pt idx="1">
                  <c:v>4864.6105051111153</c:v>
                </c:pt>
                <c:pt idx="2">
                  <c:v>4754.1702301790292</c:v>
                </c:pt>
                <c:pt idx="3">
                  <c:v>4121.5945237076576</c:v>
                </c:pt>
                <c:pt idx="4">
                  <c:v>4033.142169121053</c:v>
                </c:pt>
                <c:pt idx="5">
                  <c:v>4030.1731962582207</c:v>
                </c:pt>
                <c:pt idx="6">
                  <c:v>4030.1731962582207</c:v>
                </c:pt>
                <c:pt idx="7">
                  <c:v>4122.4152295267213</c:v>
                </c:pt>
                <c:pt idx="8">
                  <c:v>4122.4152295267213</c:v>
                </c:pt>
              </c:numCache>
            </c:numRef>
          </c:val>
          <c:smooth val="0"/>
        </c:ser>
        <c:ser>
          <c:idx val="10"/>
          <c:order val="10"/>
          <c:tx>
            <c:strRef>
              <c:f>'Ops Funding per FTE Impact'!$L$90</c:f>
              <c:strCache>
                <c:ptCount val="1"/>
                <c:pt idx="0">
                  <c:v>IU Southeast</c:v>
                </c:pt>
              </c:strCache>
            </c:strRef>
          </c:tx>
          <c:marker>
            <c:symbol val="none"/>
          </c:marker>
          <c:cat>
            <c:numRef>
              <c:f>'Ops Funding per FTE Impact'!$A$91:$A$107</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'Ops Funding per FTE Impact'!$L$91:$L$107</c:f>
              <c:numCache>
                <c:formatCode>"$"#,##0_);\("$"#,##0\)</c:formatCode>
                <c:ptCount val="9"/>
                <c:pt idx="0">
                  <c:v>5646.7299231536344</c:v>
                </c:pt>
                <c:pt idx="1">
                  <c:v>6000.4747828185327</c:v>
                </c:pt>
                <c:pt idx="2">
                  <c:v>6031.7668161434967</c:v>
                </c:pt>
                <c:pt idx="3">
                  <c:v>5518.6191198786037</c:v>
                </c:pt>
                <c:pt idx="4">
                  <c:v>5316.1323761819303</c:v>
                </c:pt>
                <c:pt idx="5">
                  <c:v>5083.1326172555109</c:v>
                </c:pt>
                <c:pt idx="6">
                  <c:v>5083.1326172555109</c:v>
                </c:pt>
                <c:pt idx="7">
                  <c:v>5114.3063222885921</c:v>
                </c:pt>
                <c:pt idx="8">
                  <c:v>5114.3063222885921</c:v>
                </c:pt>
              </c:numCache>
            </c:numRef>
          </c:val>
          <c:smooth val="0"/>
        </c:ser>
        <c:ser>
          <c:idx val="11"/>
          <c:order val="11"/>
          <c:tx>
            <c:strRef>
              <c:f>'Ops Funding per FTE Impact'!$M$90</c:f>
              <c:strCache>
                <c:ptCount val="1"/>
                <c:pt idx="0">
                  <c:v>IUPUI GA</c:v>
                </c:pt>
              </c:strCache>
            </c:strRef>
          </c:tx>
          <c:marker>
            <c:symbol val="none"/>
          </c:marker>
          <c:cat>
            <c:numRef>
              <c:f>'Ops Funding per FTE Impact'!$A$91:$A$107</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'Ops Funding per FTE Impact'!$M$91:$M$107</c:f>
              <c:numCache>
                <c:formatCode>"$"#,##0_);\("$"#,##0\)</c:formatCode>
                <c:ptCount val="9"/>
                <c:pt idx="0">
                  <c:v>4679.0940130801091</c:v>
                </c:pt>
                <c:pt idx="1">
                  <c:v>4092.6913913303333</c:v>
                </c:pt>
                <c:pt idx="2">
                  <c:v>4172.7259796030603</c:v>
                </c:pt>
                <c:pt idx="3">
                  <c:v>3932.8724923315585</c:v>
                </c:pt>
                <c:pt idx="4">
                  <c:v>3887.9893506596718</c:v>
                </c:pt>
                <c:pt idx="5">
                  <c:v>4149.4504754308246</c:v>
                </c:pt>
                <c:pt idx="6">
                  <c:v>4366.3285652950517</c:v>
                </c:pt>
                <c:pt idx="7">
                  <c:v>4650.1687642594516</c:v>
                </c:pt>
                <c:pt idx="8">
                  <c:v>4650.1687642594516</c:v>
                </c:pt>
              </c:numCache>
            </c:numRef>
          </c:val>
          <c:smooth val="0"/>
        </c:ser>
        <c:ser>
          <c:idx val="13"/>
          <c:order val="12"/>
          <c:tx>
            <c:strRef>
              <c:f>'Ops Funding per FTE Impact'!$N$90</c:f>
              <c:strCache>
                <c:ptCount val="1"/>
                <c:pt idx="0">
                  <c:v>Purdue WL</c:v>
                </c:pt>
              </c:strCache>
            </c:strRef>
          </c:tx>
          <c:marker>
            <c:symbol val="none"/>
          </c:marker>
          <c:cat>
            <c:numRef>
              <c:f>'Ops Funding per FTE Impact'!$A$91:$A$107</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'Ops Funding per FTE Impact'!$N$91:$N$107</c:f>
              <c:numCache>
                <c:formatCode>"$"#,##0_);\("$"#,##0\)</c:formatCode>
                <c:ptCount val="9"/>
                <c:pt idx="0">
                  <c:v>7719.0132226694068</c:v>
                </c:pt>
                <c:pt idx="1">
                  <c:v>7770.0709384912425</c:v>
                </c:pt>
                <c:pt idx="2">
                  <c:v>8334.8226241367993</c:v>
                </c:pt>
                <c:pt idx="3">
                  <c:v>7937.8034829773405</c:v>
                </c:pt>
                <c:pt idx="4">
                  <c:v>7883.6557710716834</c:v>
                </c:pt>
                <c:pt idx="5">
                  <c:v>7462.5299032500898</c:v>
                </c:pt>
                <c:pt idx="6">
                  <c:v>7377.4274375679615</c:v>
                </c:pt>
                <c:pt idx="7">
                  <c:v>7798.9891064862404</c:v>
                </c:pt>
                <c:pt idx="8">
                  <c:v>7709.5782957759047</c:v>
                </c:pt>
              </c:numCache>
            </c:numRef>
          </c:val>
          <c:smooth val="0"/>
        </c:ser>
        <c:ser>
          <c:idx val="14"/>
          <c:order val="13"/>
          <c:tx>
            <c:strRef>
              <c:f>'Ops Funding per FTE Impact'!$O$90</c:f>
              <c:strCache>
                <c:ptCount val="1"/>
                <c:pt idx="0">
                  <c:v>PU Calumet</c:v>
                </c:pt>
              </c:strCache>
            </c:strRef>
          </c:tx>
          <c:marker>
            <c:symbol val="none"/>
          </c:marker>
          <c:cat>
            <c:numRef>
              <c:f>'Ops Funding per FTE Impact'!$A$91:$A$107</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'Ops Funding per FTE Impact'!$O$91:$O$107</c:f>
              <c:numCache>
                <c:formatCode>"$"#,##0_);\("$"#,##0\)</c:formatCode>
                <c:ptCount val="9"/>
                <c:pt idx="0">
                  <c:v>4555.050799253002</c:v>
                </c:pt>
                <c:pt idx="1">
                  <c:v>4630.1624933859039</c:v>
                </c:pt>
                <c:pt idx="2">
                  <c:v>4795.632160462349</c:v>
                </c:pt>
                <c:pt idx="3">
                  <c:v>4341.8235851632899</c:v>
                </c:pt>
                <c:pt idx="4">
                  <c:v>4488.766003859384</c:v>
                </c:pt>
                <c:pt idx="5">
                  <c:v>4504.5624632939007</c:v>
                </c:pt>
                <c:pt idx="6">
                  <c:v>4504.5624632939007</c:v>
                </c:pt>
                <c:pt idx="7">
                  <c:v>4672.0970296878932</c:v>
                </c:pt>
                <c:pt idx="8">
                  <c:v>4672.0970296878932</c:v>
                </c:pt>
              </c:numCache>
            </c:numRef>
          </c:val>
          <c:smooth val="0"/>
        </c:ser>
        <c:ser>
          <c:idx val="15"/>
          <c:order val="14"/>
          <c:tx>
            <c:strRef>
              <c:f>'Ops Funding per FTE Impact'!$P$90</c:f>
              <c:strCache>
                <c:ptCount val="1"/>
                <c:pt idx="0">
                  <c:v>PU N Central</c:v>
                </c:pt>
              </c:strCache>
            </c:strRef>
          </c:tx>
          <c:marker>
            <c:symbol val="none"/>
          </c:marker>
          <c:cat>
            <c:numRef>
              <c:f>'Ops Funding per FTE Impact'!$A$91:$A$107</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'Ops Funding per FTE Impact'!$P$91:$P$107</c:f>
              <c:numCache>
                <c:formatCode>"$"#,##0_);\("$"#,##0\)</c:formatCode>
                <c:ptCount val="9"/>
                <c:pt idx="0">
                  <c:v>4028.9778742526378</c:v>
                </c:pt>
                <c:pt idx="1">
                  <c:v>4124.929060937211</c:v>
                </c:pt>
                <c:pt idx="2">
                  <c:v>4205.3978849734749</c:v>
                </c:pt>
                <c:pt idx="3">
                  <c:v>3910.6627937681537</c:v>
                </c:pt>
                <c:pt idx="4">
                  <c:v>4051.5327601541658</c:v>
                </c:pt>
                <c:pt idx="5">
                  <c:v>4306.613960536285</c:v>
                </c:pt>
                <c:pt idx="6">
                  <c:v>4306.613960536285</c:v>
                </c:pt>
                <c:pt idx="7">
                  <c:v>4431.9230064455205</c:v>
                </c:pt>
                <c:pt idx="8">
                  <c:v>4431.9230064455205</c:v>
                </c:pt>
              </c:numCache>
            </c:numRef>
          </c:val>
          <c:smooth val="0"/>
        </c:ser>
        <c:ser>
          <c:idx val="16"/>
          <c:order val="15"/>
          <c:tx>
            <c:strRef>
              <c:f>'Ops Funding per FTE Impact'!$Q$90</c:f>
              <c:strCache>
                <c:ptCount val="1"/>
                <c:pt idx="0">
                  <c:v>IPFW</c:v>
                </c:pt>
              </c:strCache>
            </c:strRef>
          </c:tx>
          <c:spPr>
            <a:ln w="41275">
              <a:solidFill>
                <a:schemeClr val="tx1"/>
              </a:solidFill>
            </a:ln>
          </c:spPr>
          <c:marker>
            <c:symbol val="none"/>
          </c:marker>
          <c:cat>
            <c:numRef>
              <c:f>'Ops Funding per FTE Impact'!$A$91:$A$107</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'Ops Funding per FTE Impact'!$Q$91:$Q$107</c:f>
              <c:numCache>
                <c:formatCode>"$"#,##0_);\("$"#,##0\)</c:formatCode>
                <c:ptCount val="9"/>
                <c:pt idx="0">
                  <c:v>4387.377909241407</c:v>
                </c:pt>
                <c:pt idx="1">
                  <c:v>4431.6101725270128</c:v>
                </c:pt>
                <c:pt idx="2">
                  <c:v>4464.355130854794</c:v>
                </c:pt>
                <c:pt idx="3">
                  <c:v>4009.6544807019809</c:v>
                </c:pt>
                <c:pt idx="4">
                  <c:v>4024.2299383865579</c:v>
                </c:pt>
                <c:pt idx="5">
                  <c:v>4103.6308301320596</c:v>
                </c:pt>
                <c:pt idx="6">
                  <c:v>4103.6308301320596</c:v>
                </c:pt>
                <c:pt idx="7">
                  <c:v>4152.1464865156304</c:v>
                </c:pt>
                <c:pt idx="8">
                  <c:v>4152.1464865156304</c:v>
                </c:pt>
              </c:numCache>
            </c:numRef>
          </c:val>
          <c:smooth val="0"/>
        </c:ser>
        <c:ser>
          <c:idx val="12"/>
          <c:order val="16"/>
          <c:tx>
            <c:strRef>
              <c:f>'Ops Funding per FTE Impact'!$R$90</c:f>
              <c:strCache>
                <c:ptCount val="1"/>
                <c:pt idx="0">
                  <c:v>All IHE</c:v>
                </c:pt>
              </c:strCache>
            </c:strRef>
          </c:tx>
          <c:marker>
            <c:symbol val="none"/>
          </c:marker>
          <c:cat>
            <c:numRef>
              <c:f>'Ops Funding per FTE Impact'!$A$91:$A$107</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'Ops Funding per FTE Impact'!$R$91:$R$107</c:f>
              <c:numCache>
                <c:formatCode>"$"#,##0_);\("$"#,##0\)</c:formatCode>
                <c:ptCount val="9"/>
                <c:pt idx="0">
                  <c:v>5814.8706922554138</c:v>
                </c:pt>
                <c:pt idx="1">
                  <c:v>5781.9932762706958</c:v>
                </c:pt>
                <c:pt idx="2">
                  <c:v>5834.3868542485861</c:v>
                </c:pt>
                <c:pt idx="3">
                  <c:v>5051.3458780082256</c:v>
                </c:pt>
                <c:pt idx="4">
                  <c:v>4927.3342846779133</c:v>
                </c:pt>
                <c:pt idx="5">
                  <c:v>4874.0009397562962</c:v>
                </c:pt>
                <c:pt idx="6">
                  <c:v>4886.4905273643344</c:v>
                </c:pt>
                <c:pt idx="7">
                  <c:v>5076.7709726134326</c:v>
                </c:pt>
                <c:pt idx="8">
                  <c:v>5067.6826704140631</c:v>
                </c:pt>
              </c:numCache>
            </c:numRef>
          </c:val>
          <c:smooth val="0"/>
        </c:ser>
        <c:dLbls>
          <c:showLegendKey val="0"/>
          <c:showVal val="0"/>
          <c:showCatName val="0"/>
          <c:showSerName val="0"/>
          <c:showPercent val="0"/>
          <c:showBubbleSize val="0"/>
        </c:dLbls>
        <c:marker val="1"/>
        <c:smooth val="0"/>
        <c:axId val="167200256"/>
        <c:axId val="160153600"/>
      </c:lineChart>
      <c:catAx>
        <c:axId val="167200256"/>
        <c:scaling>
          <c:orientation val="minMax"/>
        </c:scaling>
        <c:delete val="0"/>
        <c:axPos val="b"/>
        <c:numFmt formatCode="General" sourceLinked="1"/>
        <c:majorTickMark val="out"/>
        <c:minorTickMark val="none"/>
        <c:tickLblPos val="nextTo"/>
        <c:crossAx val="160153600"/>
        <c:crosses val="autoZero"/>
        <c:auto val="1"/>
        <c:lblAlgn val="ctr"/>
        <c:lblOffset val="100"/>
        <c:noMultiLvlLbl val="0"/>
      </c:catAx>
      <c:valAx>
        <c:axId val="160153600"/>
        <c:scaling>
          <c:orientation val="minMax"/>
          <c:max val="11000"/>
          <c:min val="2000"/>
        </c:scaling>
        <c:delete val="0"/>
        <c:axPos val="l"/>
        <c:majorGridlines/>
        <c:numFmt formatCode="&quot;$&quot;#,##0_);\(&quot;$&quot;#,##0\)" sourceLinked="1"/>
        <c:majorTickMark val="out"/>
        <c:minorTickMark val="none"/>
        <c:tickLblPos val="nextTo"/>
        <c:crossAx val="167200256"/>
        <c:crosses val="autoZero"/>
        <c:crossBetween val="between"/>
      </c:valAx>
    </c:plotArea>
    <c:legend>
      <c:legendPos val="r"/>
      <c:overlay val="0"/>
    </c:legend>
    <c:plotVisOnly val="1"/>
    <c:dispBlanksAs val="gap"/>
    <c:showDLblsOverMax val="0"/>
  </c:chart>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Operating Funding per Resident</a:t>
            </a:r>
            <a:r>
              <a:rPr lang="en-US" baseline="0"/>
              <a:t> FTE and FTE Count 2007 - 2015</a:t>
            </a:r>
            <a:endParaRPr lang="en-US"/>
          </a:p>
        </c:rich>
      </c:tx>
      <c:overlay val="0"/>
    </c:title>
    <c:autoTitleDeleted val="0"/>
    <c:plotArea>
      <c:layout/>
      <c:barChart>
        <c:barDir val="col"/>
        <c:grouping val="clustered"/>
        <c:varyColors val="0"/>
        <c:ser>
          <c:idx val="2"/>
          <c:order val="0"/>
          <c:tx>
            <c:strRef>
              <c:f>'Ops Funding per FTE Impact'!$T$90</c:f>
              <c:strCache>
                <c:ptCount val="1"/>
                <c:pt idx="0">
                  <c:v>2 Yr Avg</c:v>
                </c:pt>
              </c:strCache>
            </c:strRef>
          </c:tx>
          <c:spPr>
            <a:solidFill>
              <a:srgbClr val="0070C0"/>
            </a:solidFill>
          </c:spPr>
          <c:invertIfNegative val="0"/>
          <c:cat>
            <c:numRef>
              <c:f>'Ops Funding per FTE Impact'!$A$99:$A$107</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'Ops Funding per FTE Impact'!$T$99:$T$107</c:f>
              <c:numCache>
                <c:formatCode>"$"#,##0_);\("$"#,##0\)</c:formatCode>
                <c:ptCount val="9"/>
                <c:pt idx="0">
                  <c:v>4921.4821574166581</c:v>
                </c:pt>
                <c:pt idx="1">
                  <c:v>4822.8181708146058</c:v>
                </c:pt>
                <c:pt idx="2">
                  <c:v>4769.4658549681935</c:v>
                </c:pt>
                <c:pt idx="3">
                  <c:v>3993.2983320131325</c:v>
                </c:pt>
                <c:pt idx="4">
                  <c:v>3923.8311034720614</c:v>
                </c:pt>
                <c:pt idx="5">
                  <c:v>4006.8680067559289</c:v>
                </c:pt>
                <c:pt idx="6">
                  <c:v>4006.8680067559289</c:v>
                </c:pt>
                <c:pt idx="7">
                  <c:v>4229.483768085689</c:v>
                </c:pt>
                <c:pt idx="8">
                  <c:v>4229.483768085689</c:v>
                </c:pt>
              </c:numCache>
            </c:numRef>
          </c:val>
        </c:ser>
        <c:ser>
          <c:idx val="3"/>
          <c:order val="1"/>
          <c:tx>
            <c:strRef>
              <c:f>'Ops Funding per FTE Impact'!$U$90</c:f>
              <c:strCache>
                <c:ptCount val="1"/>
                <c:pt idx="0">
                  <c:v>4 Yr Avg</c:v>
                </c:pt>
              </c:strCache>
            </c:strRef>
          </c:tx>
          <c:spPr>
            <a:solidFill>
              <a:srgbClr val="00B050"/>
            </a:solidFill>
          </c:spPr>
          <c:invertIfNegative val="0"/>
          <c:cat>
            <c:numRef>
              <c:f>'Ops Funding per FTE Impact'!$A$99:$A$107</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'Ops Funding per FTE Impact'!$U$99:$U$107</c:f>
              <c:numCache>
                <c:formatCode>"$"#,##0_);\("$"#,##0\)</c:formatCode>
                <c:ptCount val="9"/>
                <c:pt idx="0">
                  <c:v>5868.1831762548736</c:v>
                </c:pt>
                <c:pt idx="1">
                  <c:v>5989.5982517316679</c:v>
                </c:pt>
                <c:pt idx="2">
                  <c:v>6129.0834411944352</c:v>
                </c:pt>
                <c:pt idx="3">
                  <c:v>5570.7879262446313</c:v>
                </c:pt>
                <c:pt idx="4">
                  <c:v>5422.5831622848264</c:v>
                </c:pt>
                <c:pt idx="5">
                  <c:v>5374.7294631845916</c:v>
                </c:pt>
                <c:pt idx="6">
                  <c:v>5384.1420077690273</c:v>
                </c:pt>
                <c:pt idx="7">
                  <c:v>5550.4765058776011</c:v>
                </c:pt>
                <c:pt idx="8">
                  <c:v>5544.0900193982916</c:v>
                </c:pt>
              </c:numCache>
            </c:numRef>
          </c:val>
        </c:ser>
        <c:ser>
          <c:idx val="0"/>
          <c:order val="2"/>
          <c:tx>
            <c:strRef>
              <c:f>'Ops Funding per FTE Impact'!$R$90</c:f>
              <c:strCache>
                <c:ptCount val="1"/>
                <c:pt idx="0">
                  <c:v>All IHE</c:v>
                </c:pt>
              </c:strCache>
            </c:strRef>
          </c:tx>
          <c:spPr>
            <a:solidFill>
              <a:srgbClr val="FF0000"/>
            </a:solidFill>
          </c:spPr>
          <c:invertIfNegative val="0"/>
          <c:dPt>
            <c:idx val="7"/>
            <c:invertIfNegative val="0"/>
            <c:bubble3D val="0"/>
          </c:dPt>
          <c:dPt>
            <c:idx val="8"/>
            <c:invertIfNegative val="0"/>
            <c:bubble3D val="0"/>
          </c:dPt>
          <c:dLbls>
            <c:dLbl>
              <c:idx val="0"/>
              <c:layout>
                <c:manualLayout>
                  <c:x val="4.394786053509808E-3"/>
                  <c:y val="-3.8373986222259952E-2"/>
                </c:manualLayout>
              </c:layout>
              <c:showLegendKey val="0"/>
              <c:showVal val="1"/>
              <c:showCatName val="0"/>
              <c:showSerName val="0"/>
              <c:showPercent val="0"/>
              <c:showBubbleSize val="0"/>
            </c:dLbl>
            <c:dLbl>
              <c:idx val="1"/>
              <c:layout>
                <c:manualLayout>
                  <c:x val="1.3184358160529401E-2"/>
                  <c:y val="-5.4531454105317033E-2"/>
                </c:manualLayout>
              </c:layout>
              <c:showLegendKey val="0"/>
              <c:showVal val="1"/>
              <c:showCatName val="0"/>
              <c:showSerName val="0"/>
              <c:showPercent val="0"/>
              <c:showBubbleSize val="0"/>
            </c:dLbl>
            <c:dLbl>
              <c:idx val="2"/>
              <c:layout>
                <c:manualLayout>
                  <c:x val="7.3246434225164034E-3"/>
                  <c:y val="-4.6452720163788402E-2"/>
                </c:manualLayout>
              </c:layout>
              <c:showLegendKey val="0"/>
              <c:showVal val="1"/>
              <c:showCatName val="0"/>
              <c:showSerName val="0"/>
              <c:showPercent val="0"/>
              <c:showBubbleSize val="0"/>
            </c:dLbl>
            <c:dLbl>
              <c:idx val="3"/>
              <c:layout>
                <c:manualLayout>
                  <c:x val="2.1973930267549433E-2"/>
                  <c:y val="-4.0393669707642729E-2"/>
                </c:manualLayout>
              </c:layout>
              <c:showLegendKey val="0"/>
              <c:showVal val="1"/>
              <c:showCatName val="0"/>
              <c:showSerName val="0"/>
              <c:showPercent val="0"/>
              <c:showBubbleSize val="0"/>
            </c:dLbl>
            <c:dLbl>
              <c:idx val="4"/>
              <c:layout>
                <c:manualLayout>
                  <c:x val="1.6114215529535961E-2"/>
                  <c:y val="-4.6452720163788402E-2"/>
                </c:manualLayout>
              </c:layout>
              <c:showLegendKey val="0"/>
              <c:showVal val="1"/>
              <c:showCatName val="0"/>
              <c:showSerName val="0"/>
              <c:showPercent val="0"/>
              <c:showBubbleSize val="0"/>
            </c:dLbl>
            <c:dLbl>
              <c:idx val="5"/>
              <c:layout>
                <c:manualLayout>
                  <c:x val="1.7579144214039243E-2"/>
                  <c:y val="-4.0393669707642708E-2"/>
                </c:manualLayout>
              </c:layout>
              <c:showLegendKey val="0"/>
              <c:showVal val="1"/>
              <c:showCatName val="0"/>
              <c:showSerName val="0"/>
              <c:showPercent val="0"/>
              <c:showBubbleSize val="0"/>
            </c:dLbl>
            <c:dLbl>
              <c:idx val="6"/>
              <c:layout>
                <c:manualLayout>
                  <c:x val="1.6114215529535961E-2"/>
                  <c:y val="-3.0295252280731592E-2"/>
                </c:manualLayout>
              </c:layout>
              <c:showLegendKey val="0"/>
              <c:showVal val="1"/>
              <c:showCatName val="0"/>
              <c:showSerName val="0"/>
              <c:showPercent val="0"/>
              <c:showBubbleSize val="0"/>
            </c:dLbl>
            <c:dLbl>
              <c:idx val="7"/>
              <c:layout>
                <c:manualLayout>
                  <c:x val="2.0509001583045802E-2"/>
                  <c:y val="-2.6255885309967312E-2"/>
                </c:manualLayout>
              </c:layout>
              <c:showLegendKey val="0"/>
              <c:showVal val="1"/>
              <c:showCatName val="0"/>
              <c:showSerName val="0"/>
              <c:showPercent val="0"/>
              <c:showBubbleSize val="0"/>
            </c:dLbl>
            <c:dLbl>
              <c:idx val="8"/>
              <c:layout>
                <c:manualLayout>
                  <c:x val="0"/>
                  <c:y val="-5.8570821076081039E-2"/>
                </c:manualLayout>
              </c:layout>
              <c:showLegendKey val="0"/>
              <c:showVal val="1"/>
              <c:showCatName val="0"/>
              <c:showSerName val="0"/>
              <c:showPercent val="0"/>
              <c:showBubbleSize val="0"/>
            </c:dLbl>
            <c:spPr>
              <a:solidFill>
                <a:schemeClr val="bg1">
                  <a:lumMod val="65000"/>
                </a:schemeClr>
              </a:solidFill>
              <a:ln>
                <a:solidFill>
                  <a:sysClr val="windowText" lastClr="000000"/>
                </a:solidFill>
              </a:ln>
            </c:spPr>
            <c:showLegendKey val="0"/>
            <c:showVal val="1"/>
            <c:showCatName val="0"/>
            <c:showSerName val="0"/>
            <c:showPercent val="0"/>
            <c:showBubbleSize val="0"/>
            <c:showLeaderLines val="0"/>
          </c:dLbls>
          <c:cat>
            <c:numRef>
              <c:f>'Ops Funding per FTE Impact'!$A$76:$A$84</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'Ops Funding per FTE Impact'!$R$99:$R$107</c:f>
              <c:numCache>
                <c:formatCode>"$"#,##0_);\("$"#,##0\)</c:formatCode>
                <c:ptCount val="9"/>
                <c:pt idx="0">
                  <c:v>5814.8706922554138</c:v>
                </c:pt>
                <c:pt idx="1">
                  <c:v>5781.9932762706958</c:v>
                </c:pt>
                <c:pt idx="2">
                  <c:v>5834.3868542485861</c:v>
                </c:pt>
                <c:pt idx="3">
                  <c:v>5051.3458780082256</c:v>
                </c:pt>
                <c:pt idx="4">
                  <c:v>4927.3342846779133</c:v>
                </c:pt>
                <c:pt idx="5">
                  <c:v>4874.0009397562962</c:v>
                </c:pt>
                <c:pt idx="6">
                  <c:v>4886.4905273643344</c:v>
                </c:pt>
                <c:pt idx="7">
                  <c:v>5076.7709726134326</c:v>
                </c:pt>
                <c:pt idx="8">
                  <c:v>5067.6826704140631</c:v>
                </c:pt>
              </c:numCache>
            </c:numRef>
          </c:val>
        </c:ser>
        <c:dLbls>
          <c:showLegendKey val="0"/>
          <c:showVal val="0"/>
          <c:showCatName val="0"/>
          <c:showSerName val="0"/>
          <c:showPercent val="0"/>
          <c:showBubbleSize val="0"/>
        </c:dLbls>
        <c:gapWidth val="150"/>
        <c:axId val="167010304"/>
        <c:axId val="160157632"/>
      </c:barChart>
      <c:lineChart>
        <c:grouping val="standard"/>
        <c:varyColors val="0"/>
        <c:ser>
          <c:idx val="1"/>
          <c:order val="3"/>
          <c:tx>
            <c:strRef>
              <c:f>'Ops Funding per FTE Impact'!$A$66:$R$66</c:f>
              <c:strCache>
                <c:ptCount val="1"/>
                <c:pt idx="0">
                  <c:v>RESIDENT DEGREE SEEKING (EXLUDING HIGH SCHOOL) FTE, GRAD &amp; UNDERGRAD (2)</c:v>
                </c:pt>
              </c:strCache>
            </c:strRef>
          </c:tx>
          <c:spPr>
            <a:ln w="38100"/>
          </c:spPr>
          <c:marker>
            <c:spPr>
              <a:solidFill>
                <a:schemeClr val="tx1">
                  <a:lumMod val="95000"/>
                  <a:lumOff val="5000"/>
                </a:schemeClr>
              </a:solidFill>
            </c:spPr>
          </c:marker>
          <c:cat>
            <c:numRef>
              <c:f>'Ops Funding per FTE Impact'!$A$99:$A$107</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'Ops Funding per FTE Impact'!$R$76:$R$84</c:f>
              <c:numCache>
                <c:formatCode>#,##0</c:formatCode>
                <c:ptCount val="9"/>
                <c:pt idx="0">
                  <c:v>176044.67600000001</c:v>
                </c:pt>
                <c:pt idx="1">
                  <c:v>179317.451</c:v>
                </c:pt>
                <c:pt idx="2">
                  <c:v>185896.16700000002</c:v>
                </c:pt>
                <c:pt idx="3">
                  <c:v>206916.37599999999</c:v>
                </c:pt>
                <c:pt idx="4">
                  <c:v>211708.07899999997</c:v>
                </c:pt>
                <c:pt idx="5">
                  <c:v>211708.07899999997</c:v>
                </c:pt>
                <c:pt idx="6">
                  <c:v>211708.07899999997</c:v>
                </c:pt>
                <c:pt idx="7">
                  <c:v>211708.07899999997</c:v>
                </c:pt>
                <c:pt idx="8">
                  <c:v>211708.07899999997</c:v>
                </c:pt>
              </c:numCache>
            </c:numRef>
          </c:val>
          <c:smooth val="0"/>
        </c:ser>
        <c:dLbls>
          <c:showLegendKey val="0"/>
          <c:showVal val="0"/>
          <c:showCatName val="0"/>
          <c:showSerName val="0"/>
          <c:showPercent val="0"/>
          <c:showBubbleSize val="0"/>
        </c:dLbls>
        <c:marker val="1"/>
        <c:smooth val="0"/>
        <c:axId val="167010816"/>
        <c:axId val="160158208"/>
      </c:lineChart>
      <c:catAx>
        <c:axId val="167010304"/>
        <c:scaling>
          <c:orientation val="minMax"/>
        </c:scaling>
        <c:delete val="0"/>
        <c:axPos val="b"/>
        <c:numFmt formatCode="General" sourceLinked="1"/>
        <c:majorTickMark val="out"/>
        <c:minorTickMark val="none"/>
        <c:tickLblPos val="nextTo"/>
        <c:crossAx val="160157632"/>
        <c:crosses val="autoZero"/>
        <c:auto val="1"/>
        <c:lblAlgn val="ctr"/>
        <c:lblOffset val="100"/>
        <c:noMultiLvlLbl val="0"/>
      </c:catAx>
      <c:valAx>
        <c:axId val="160157632"/>
        <c:scaling>
          <c:orientation val="minMax"/>
        </c:scaling>
        <c:delete val="0"/>
        <c:axPos val="l"/>
        <c:majorGridlines/>
        <c:numFmt formatCode="&quot;$&quot;#,##0_);\(&quot;$&quot;#,##0\)" sourceLinked="1"/>
        <c:majorTickMark val="out"/>
        <c:minorTickMark val="none"/>
        <c:tickLblPos val="nextTo"/>
        <c:crossAx val="167010304"/>
        <c:crosses val="autoZero"/>
        <c:crossBetween val="between"/>
      </c:valAx>
      <c:valAx>
        <c:axId val="160158208"/>
        <c:scaling>
          <c:orientation val="minMax"/>
        </c:scaling>
        <c:delete val="0"/>
        <c:axPos val="r"/>
        <c:numFmt formatCode="#,##0" sourceLinked="1"/>
        <c:majorTickMark val="out"/>
        <c:minorTickMark val="none"/>
        <c:tickLblPos val="nextTo"/>
        <c:crossAx val="167010816"/>
        <c:crosses val="max"/>
        <c:crossBetween val="between"/>
        <c:majorUnit val="25000"/>
      </c:valAx>
      <c:catAx>
        <c:axId val="167010816"/>
        <c:scaling>
          <c:orientation val="minMax"/>
        </c:scaling>
        <c:delete val="1"/>
        <c:axPos val="b"/>
        <c:numFmt formatCode="General" sourceLinked="1"/>
        <c:majorTickMark val="out"/>
        <c:minorTickMark val="none"/>
        <c:tickLblPos val="none"/>
        <c:crossAx val="160158208"/>
        <c:crosses val="autoZero"/>
        <c:auto val="1"/>
        <c:lblAlgn val="ctr"/>
        <c:lblOffset val="100"/>
        <c:noMultiLvlLbl val="0"/>
      </c:catAx>
    </c:plotArea>
    <c:legend>
      <c:legendPos val="b"/>
      <c:overlay val="0"/>
    </c:legend>
    <c:plotVisOnly val="1"/>
    <c:dispBlanksAs val="gap"/>
    <c:showDLblsOverMax val="0"/>
  </c:char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State Debt Service</a:t>
            </a:r>
            <a:r>
              <a:rPr lang="en-US" baseline="0"/>
              <a:t> </a:t>
            </a:r>
            <a:r>
              <a:rPr lang="en-US"/>
              <a:t>Approp per Resident FTE (UG</a:t>
            </a:r>
            <a:r>
              <a:rPr lang="en-US" baseline="0"/>
              <a:t> and Grad)</a:t>
            </a:r>
            <a:endParaRPr lang="en-US"/>
          </a:p>
        </c:rich>
      </c:tx>
      <c:overlay val="0"/>
    </c:title>
    <c:autoTitleDeleted val="0"/>
    <c:plotArea>
      <c:layout/>
      <c:lineChart>
        <c:grouping val="standard"/>
        <c:varyColors val="0"/>
        <c:ser>
          <c:idx val="0"/>
          <c:order val="0"/>
          <c:tx>
            <c:strRef>
              <c:f>'Debt Funding per FTE Impact'!$B$90</c:f>
              <c:strCache>
                <c:ptCount val="1"/>
                <c:pt idx="0">
                  <c:v>USI</c:v>
                </c:pt>
              </c:strCache>
            </c:strRef>
          </c:tx>
          <c:marker>
            <c:symbol val="none"/>
          </c:marker>
          <c:cat>
            <c:numRef>
              <c:f>'Debt Funding per FTE Impact'!$A$91:$A$107</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'Debt Funding per FTE Impact'!$B$91:$B$107</c:f>
              <c:numCache>
                <c:formatCode>"$"#,##0_);\("$"#,##0\)</c:formatCode>
                <c:ptCount val="9"/>
                <c:pt idx="0">
                  <c:v>765.73562040196703</c:v>
                </c:pt>
                <c:pt idx="1">
                  <c:v>1238.137877937703</c:v>
                </c:pt>
                <c:pt idx="2">
                  <c:v>1400.2130206144875</c:v>
                </c:pt>
                <c:pt idx="3">
                  <c:v>1463.2267052917132</c:v>
                </c:pt>
                <c:pt idx="4">
                  <c:v>1375.3100147184325</c:v>
                </c:pt>
                <c:pt idx="5">
                  <c:v>1360.3748871380685</c:v>
                </c:pt>
                <c:pt idx="6">
                  <c:v>1500.7997427366388</c:v>
                </c:pt>
                <c:pt idx="7">
                  <c:v>1368.5149225117807</c:v>
                </c:pt>
                <c:pt idx="8">
                  <c:v>1328.1396643207875</c:v>
                </c:pt>
              </c:numCache>
            </c:numRef>
          </c:val>
          <c:smooth val="0"/>
        </c:ser>
        <c:ser>
          <c:idx val="1"/>
          <c:order val="1"/>
          <c:tx>
            <c:strRef>
              <c:f>'Debt Funding per FTE Impact'!$C$90</c:f>
              <c:strCache>
                <c:ptCount val="1"/>
                <c:pt idx="0">
                  <c:v>BSU</c:v>
                </c:pt>
              </c:strCache>
            </c:strRef>
          </c:tx>
          <c:marker>
            <c:symbol val="none"/>
          </c:marker>
          <c:cat>
            <c:numRef>
              <c:f>'Debt Funding per FTE Impact'!$A$91:$A$107</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'Debt Funding per FTE Impact'!$C$91:$C$107</c:f>
              <c:numCache>
                <c:formatCode>"$"#,##0_);\("$"#,##0\)</c:formatCode>
                <c:ptCount val="9"/>
                <c:pt idx="0">
                  <c:v>672.33576621450459</c:v>
                </c:pt>
                <c:pt idx="1">
                  <c:v>786.57862376518096</c:v>
                </c:pt>
                <c:pt idx="2">
                  <c:v>875.2126955907986</c:v>
                </c:pt>
                <c:pt idx="3">
                  <c:v>681.99968616730405</c:v>
                </c:pt>
                <c:pt idx="4">
                  <c:v>826.27703317700275</c:v>
                </c:pt>
                <c:pt idx="5">
                  <c:v>811.34320056587183</c:v>
                </c:pt>
                <c:pt idx="6">
                  <c:v>848.32726198601051</c:v>
                </c:pt>
                <c:pt idx="7">
                  <c:v>899.87599921978176</c:v>
                </c:pt>
                <c:pt idx="8">
                  <c:v>855.58152742179743</c:v>
                </c:pt>
              </c:numCache>
            </c:numRef>
          </c:val>
          <c:smooth val="0"/>
        </c:ser>
        <c:ser>
          <c:idx val="2"/>
          <c:order val="2"/>
          <c:tx>
            <c:strRef>
              <c:f>'Debt Funding per FTE Impact'!$D$90</c:f>
              <c:strCache>
                <c:ptCount val="1"/>
                <c:pt idx="0">
                  <c:v>ISU</c:v>
                </c:pt>
              </c:strCache>
            </c:strRef>
          </c:tx>
          <c:marker>
            <c:symbol val="none"/>
          </c:marker>
          <c:cat>
            <c:numRef>
              <c:f>'Debt Funding per FTE Impact'!$A$91:$A$107</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'Debt Funding per FTE Impact'!$D$91:$D$107</c:f>
              <c:numCache>
                <c:formatCode>"$"#,##0_);\("$"#,##0\)</c:formatCode>
                <c:ptCount val="9"/>
                <c:pt idx="0">
                  <c:v>932.74792832716423</c:v>
                </c:pt>
                <c:pt idx="1">
                  <c:v>1236.8491682891452</c:v>
                </c:pt>
                <c:pt idx="2">
                  <c:v>1371.0903263872126</c:v>
                </c:pt>
                <c:pt idx="3">
                  <c:v>1091.9217350931883</c:v>
                </c:pt>
                <c:pt idx="4">
                  <c:v>1154.656839997069</c:v>
                </c:pt>
                <c:pt idx="5">
                  <c:v>1085.3132403585471</c:v>
                </c:pt>
                <c:pt idx="6">
                  <c:v>1087.715970984051</c:v>
                </c:pt>
                <c:pt idx="7">
                  <c:v>1041.8483922405753</c:v>
                </c:pt>
                <c:pt idx="8">
                  <c:v>1042.1245078158872</c:v>
                </c:pt>
              </c:numCache>
            </c:numRef>
          </c:val>
          <c:smooth val="0"/>
        </c:ser>
        <c:ser>
          <c:idx val="3"/>
          <c:order val="3"/>
          <c:tx>
            <c:strRef>
              <c:f>'Debt Funding per FTE Impact'!$E$90</c:f>
              <c:strCache>
                <c:ptCount val="1"/>
                <c:pt idx="0">
                  <c:v>VU</c:v>
                </c:pt>
              </c:strCache>
            </c:strRef>
          </c:tx>
          <c:marker>
            <c:symbol val="none"/>
          </c:marker>
          <c:cat>
            <c:numRef>
              <c:f>'Debt Funding per FTE Impact'!$A$91:$A$107</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'Debt Funding per FTE Impact'!$E$91:$E$107</c:f>
              <c:numCache>
                <c:formatCode>"$"#,##0_);\("$"#,##0\)</c:formatCode>
                <c:ptCount val="9"/>
                <c:pt idx="0">
                  <c:v>689.94425883908309</c:v>
                </c:pt>
                <c:pt idx="1">
                  <c:v>910.57320840547243</c:v>
                </c:pt>
                <c:pt idx="2">
                  <c:v>1093.0285630393291</c:v>
                </c:pt>
                <c:pt idx="3">
                  <c:v>778.78568687077438</c:v>
                </c:pt>
                <c:pt idx="4">
                  <c:v>760.51107080130146</c:v>
                </c:pt>
                <c:pt idx="5">
                  <c:v>601.28401140191761</c:v>
                </c:pt>
                <c:pt idx="6">
                  <c:v>701.02948374650884</c:v>
                </c:pt>
                <c:pt idx="7">
                  <c:v>689.02954133195135</c:v>
                </c:pt>
                <c:pt idx="8">
                  <c:v>689.54061213325269</c:v>
                </c:pt>
              </c:numCache>
            </c:numRef>
          </c:val>
          <c:smooth val="0"/>
        </c:ser>
        <c:ser>
          <c:idx val="4"/>
          <c:order val="4"/>
          <c:tx>
            <c:strRef>
              <c:f>'Debt Funding per FTE Impact'!$F$90</c:f>
              <c:strCache>
                <c:ptCount val="1"/>
                <c:pt idx="0">
                  <c:v>ITCCI</c:v>
                </c:pt>
              </c:strCache>
            </c:strRef>
          </c:tx>
          <c:marker>
            <c:symbol val="none"/>
          </c:marker>
          <c:cat>
            <c:numRef>
              <c:f>'Debt Funding per FTE Impact'!$A$91:$A$107</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'Debt Funding per FTE Impact'!$F$91:$F$107</c:f>
              <c:numCache>
                <c:formatCode>"$"#,##0_);\("$"#,##0\)</c:formatCode>
                <c:ptCount val="9"/>
                <c:pt idx="0">
                  <c:v>304.09960664507889</c:v>
                </c:pt>
                <c:pt idx="1">
                  <c:v>445.69959444734587</c:v>
                </c:pt>
                <c:pt idx="2">
                  <c:v>548.01742347348659</c:v>
                </c:pt>
                <c:pt idx="3">
                  <c:v>399.25337634930401</c:v>
                </c:pt>
                <c:pt idx="4">
                  <c:v>442.14197793471169</c:v>
                </c:pt>
                <c:pt idx="5">
                  <c:v>422.84131711052498</c:v>
                </c:pt>
                <c:pt idx="6">
                  <c:v>436.84856348733655</c:v>
                </c:pt>
                <c:pt idx="7">
                  <c:v>480.36548783361599</c:v>
                </c:pt>
                <c:pt idx="8">
                  <c:v>473.76596714386301</c:v>
                </c:pt>
              </c:numCache>
            </c:numRef>
          </c:val>
          <c:smooth val="0"/>
        </c:ser>
        <c:ser>
          <c:idx val="5"/>
          <c:order val="5"/>
          <c:tx>
            <c:strRef>
              <c:f>'Debt Funding per FTE Impact'!$G$90</c:f>
              <c:strCache>
                <c:ptCount val="1"/>
                <c:pt idx="0">
                  <c:v>IUB</c:v>
                </c:pt>
              </c:strCache>
            </c:strRef>
          </c:tx>
          <c:marker>
            <c:symbol val="none"/>
          </c:marker>
          <c:cat>
            <c:numRef>
              <c:f>'Debt Funding per FTE Impact'!$A$91:$A$107</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'Debt Funding per FTE Impact'!$G$91:$G$107</c:f>
              <c:numCache>
                <c:formatCode>"$"#,##0_);\("$"#,##0\)</c:formatCode>
                <c:ptCount val="9"/>
                <c:pt idx="0">
                  <c:v>1136.9206143597335</c:v>
                </c:pt>
                <c:pt idx="1">
                  <c:v>1165.1490771859335</c:v>
                </c:pt>
                <c:pt idx="2">
                  <c:v>1196.9735063220946</c:v>
                </c:pt>
                <c:pt idx="3">
                  <c:v>1200.3413918040981</c:v>
                </c:pt>
                <c:pt idx="4">
                  <c:v>1752.343664697449</c:v>
                </c:pt>
                <c:pt idx="5">
                  <c:v>1020.1575226030953</c:v>
                </c:pt>
                <c:pt idx="6">
                  <c:v>695.43157819983037</c:v>
                </c:pt>
                <c:pt idx="7">
                  <c:v>774.85978647552156</c:v>
                </c:pt>
                <c:pt idx="8">
                  <c:v>784.75175322222924</c:v>
                </c:pt>
              </c:numCache>
            </c:numRef>
          </c:val>
          <c:smooth val="0"/>
        </c:ser>
        <c:ser>
          <c:idx val="6"/>
          <c:order val="6"/>
          <c:tx>
            <c:strRef>
              <c:f>'Debt Funding per FTE Impact'!$H$90</c:f>
              <c:strCache>
                <c:ptCount val="1"/>
                <c:pt idx="0">
                  <c:v>IUE</c:v>
                </c:pt>
              </c:strCache>
            </c:strRef>
          </c:tx>
          <c:marker>
            <c:symbol val="none"/>
          </c:marker>
          <c:cat>
            <c:numRef>
              <c:f>'Debt Funding per FTE Impact'!$A$91:$A$107</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'Debt Funding per FTE Impact'!$H$91:$H$107</c:f>
              <c:numCache>
                <c:formatCode>"$"#,##0_);\("$"#,##0\)</c:formatCode>
                <c:ptCount val="9"/>
                <c:pt idx="0">
                  <c:v>1468.0607070414371</c:v>
                </c:pt>
                <c:pt idx="1">
                  <c:v>1453.9649022685119</c:v>
                </c:pt>
                <c:pt idx="2">
                  <c:v>1299.043540328337</c:v>
                </c:pt>
                <c:pt idx="3">
                  <c:v>1068.8853826214358</c:v>
                </c:pt>
                <c:pt idx="4">
                  <c:v>739.68365460786902</c:v>
                </c:pt>
                <c:pt idx="5">
                  <c:v>739.19883813044623</c:v>
                </c:pt>
                <c:pt idx="6">
                  <c:v>738.98177977290732</c:v>
                </c:pt>
                <c:pt idx="7">
                  <c:v>739.72326379720096</c:v>
                </c:pt>
                <c:pt idx="8">
                  <c:v>658.05228412991812</c:v>
                </c:pt>
              </c:numCache>
            </c:numRef>
          </c:val>
          <c:smooth val="0"/>
        </c:ser>
        <c:ser>
          <c:idx val="7"/>
          <c:order val="7"/>
          <c:tx>
            <c:strRef>
              <c:f>'Debt Funding per FTE Impact'!$I$90</c:f>
              <c:strCache>
                <c:ptCount val="1"/>
                <c:pt idx="0">
                  <c:v>IUK</c:v>
                </c:pt>
              </c:strCache>
            </c:strRef>
          </c:tx>
          <c:marker>
            <c:symbol val="none"/>
          </c:marker>
          <c:cat>
            <c:numRef>
              <c:f>'Debt Funding per FTE Impact'!$A$91:$A$107</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'Debt Funding per FTE Impact'!$I$91:$I$107</c:f>
              <c:numCache>
                <c:formatCode>"$"#,##0_);\("$"#,##0\)</c:formatCode>
                <c:ptCount val="9"/>
                <c:pt idx="0">
                  <c:v>1275.1490457914936</c:v>
                </c:pt>
                <c:pt idx="1">
                  <c:v>1262.0700015813611</c:v>
                </c:pt>
                <c:pt idx="2">
                  <c:v>1292.3040993515772</c:v>
                </c:pt>
                <c:pt idx="3">
                  <c:v>1040.7979223349</c:v>
                </c:pt>
                <c:pt idx="4">
                  <c:v>753.30068370266213</c:v>
                </c:pt>
                <c:pt idx="5">
                  <c:v>882.41671919701321</c:v>
                </c:pt>
                <c:pt idx="6">
                  <c:v>881.56572758570542</c:v>
                </c:pt>
                <c:pt idx="7">
                  <c:v>870.63860738010965</c:v>
                </c:pt>
                <c:pt idx="8">
                  <c:v>764.96775444891637</c:v>
                </c:pt>
              </c:numCache>
            </c:numRef>
          </c:val>
          <c:smooth val="0"/>
        </c:ser>
        <c:ser>
          <c:idx val="8"/>
          <c:order val="8"/>
          <c:tx>
            <c:strRef>
              <c:f>'Debt Funding per FTE Impact'!$J$90</c:f>
              <c:strCache>
                <c:ptCount val="1"/>
                <c:pt idx="0">
                  <c:v>IUN</c:v>
                </c:pt>
              </c:strCache>
            </c:strRef>
          </c:tx>
          <c:marker>
            <c:symbol val="none"/>
          </c:marker>
          <c:cat>
            <c:numRef>
              <c:f>'Debt Funding per FTE Impact'!$A$91:$A$107</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'Debt Funding per FTE Impact'!$J$91:$J$107</c:f>
              <c:numCache>
                <c:formatCode>"$"#,##0_);\("$"#,##0\)</c:formatCode>
                <c:ptCount val="9"/>
                <c:pt idx="0">
                  <c:v>1185.2267316316925</c:v>
                </c:pt>
                <c:pt idx="1">
                  <c:v>1218.7965211498276</c:v>
                </c:pt>
                <c:pt idx="2">
                  <c:v>1142.5848268427435</c:v>
                </c:pt>
                <c:pt idx="3">
                  <c:v>917.36613024656492</c:v>
                </c:pt>
                <c:pt idx="4">
                  <c:v>639.55216918053168</c:v>
                </c:pt>
                <c:pt idx="5">
                  <c:v>576.61972143856758</c:v>
                </c:pt>
                <c:pt idx="6">
                  <c:v>622.3917631117132</c:v>
                </c:pt>
                <c:pt idx="7">
                  <c:v>1463.3372830290218</c:v>
                </c:pt>
                <c:pt idx="8">
                  <c:v>1562.5653524250276</c:v>
                </c:pt>
              </c:numCache>
            </c:numRef>
          </c:val>
          <c:smooth val="0"/>
        </c:ser>
        <c:ser>
          <c:idx val="9"/>
          <c:order val="9"/>
          <c:tx>
            <c:strRef>
              <c:f>'Debt Funding per FTE Impact'!$K$90</c:f>
              <c:strCache>
                <c:ptCount val="1"/>
                <c:pt idx="0">
                  <c:v>IUSB</c:v>
                </c:pt>
              </c:strCache>
            </c:strRef>
          </c:tx>
          <c:marker>
            <c:symbol val="none"/>
          </c:marker>
          <c:cat>
            <c:numRef>
              <c:f>'Debt Funding per FTE Impact'!$A$91:$A$107</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'Debt Funding per FTE Impact'!$K$91:$K$107</c:f>
              <c:numCache>
                <c:formatCode>"$"#,##0_);\("$"#,##0\)</c:formatCode>
                <c:ptCount val="9"/>
                <c:pt idx="0">
                  <c:v>1266.8850702776826</c:v>
                </c:pt>
                <c:pt idx="1">
                  <c:v>1278.862910657266</c:v>
                </c:pt>
                <c:pt idx="2">
                  <c:v>1477.4039897698212</c:v>
                </c:pt>
                <c:pt idx="3">
                  <c:v>1052.6455105191687</c:v>
                </c:pt>
                <c:pt idx="4">
                  <c:v>773.99870334352147</c:v>
                </c:pt>
                <c:pt idx="5">
                  <c:v>789.69917569695303</c:v>
                </c:pt>
                <c:pt idx="6">
                  <c:v>789.82309900898406</c:v>
                </c:pt>
                <c:pt idx="7">
                  <c:v>783.00842826711141</c:v>
                </c:pt>
                <c:pt idx="8">
                  <c:v>715.6128554228028</c:v>
                </c:pt>
              </c:numCache>
            </c:numRef>
          </c:val>
          <c:smooth val="0"/>
        </c:ser>
        <c:ser>
          <c:idx val="10"/>
          <c:order val="10"/>
          <c:tx>
            <c:strRef>
              <c:f>'Debt Funding per FTE Impact'!$L$90</c:f>
              <c:strCache>
                <c:ptCount val="1"/>
                <c:pt idx="0">
                  <c:v>IUS</c:v>
                </c:pt>
              </c:strCache>
            </c:strRef>
          </c:tx>
          <c:marker>
            <c:symbol val="none"/>
          </c:marker>
          <c:cat>
            <c:numRef>
              <c:f>'Debt Funding per FTE Impact'!$A$91:$A$107</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'Debt Funding per FTE Impact'!$L$91:$L$107</c:f>
              <c:numCache>
                <c:formatCode>"$"#,##0_);\("$"#,##0\)</c:formatCode>
                <c:ptCount val="9"/>
                <c:pt idx="0">
                  <c:v>1525.8511761600282</c:v>
                </c:pt>
                <c:pt idx="1">
                  <c:v>1588.4510738416989</c:v>
                </c:pt>
                <c:pt idx="2">
                  <c:v>1496.4484304932732</c:v>
                </c:pt>
                <c:pt idx="3">
                  <c:v>1392.7498965374534</c:v>
                </c:pt>
                <c:pt idx="4">
                  <c:v>998.40864650577237</c:v>
                </c:pt>
                <c:pt idx="5">
                  <c:v>815.99121420726965</c:v>
                </c:pt>
                <c:pt idx="6">
                  <c:v>817.76551576353359</c:v>
                </c:pt>
                <c:pt idx="7">
                  <c:v>795.28567219350168</c:v>
                </c:pt>
                <c:pt idx="8">
                  <c:v>667.32810114376014</c:v>
                </c:pt>
              </c:numCache>
            </c:numRef>
          </c:val>
          <c:smooth val="0"/>
        </c:ser>
        <c:ser>
          <c:idx val="11"/>
          <c:order val="11"/>
          <c:tx>
            <c:strRef>
              <c:f>'Debt Funding per FTE Impact'!$M$90</c:f>
              <c:strCache>
                <c:ptCount val="1"/>
                <c:pt idx="0">
                  <c:v>IUPUI</c:v>
                </c:pt>
              </c:strCache>
            </c:strRef>
          </c:tx>
          <c:marker>
            <c:symbol val="none"/>
          </c:marker>
          <c:cat>
            <c:numRef>
              <c:f>'Debt Funding per FTE Impact'!$A$91:$A$107</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'Debt Funding per FTE Impact'!$M$91:$M$107</c:f>
              <c:numCache>
                <c:formatCode>"$"#,##0_);\("$"#,##0\)</c:formatCode>
                <c:ptCount val="9"/>
                <c:pt idx="0">
                  <c:v>850.29336161464755</c:v>
                </c:pt>
                <c:pt idx="1">
                  <c:v>1060.6350065704096</c:v>
                </c:pt>
                <c:pt idx="2">
                  <c:v>1050.7212855621681</c:v>
                </c:pt>
                <c:pt idx="3">
                  <c:v>979.58921443038071</c:v>
                </c:pt>
                <c:pt idx="4">
                  <c:v>652.87322846168979</c:v>
                </c:pt>
                <c:pt idx="5">
                  <c:v>611.05419746637187</c:v>
                </c:pt>
                <c:pt idx="6">
                  <c:v>759.09981672822573</c:v>
                </c:pt>
                <c:pt idx="7">
                  <c:v>735.99539293526561</c:v>
                </c:pt>
                <c:pt idx="8">
                  <c:v>752.61018918764375</c:v>
                </c:pt>
              </c:numCache>
            </c:numRef>
          </c:val>
          <c:smooth val="0"/>
        </c:ser>
        <c:ser>
          <c:idx val="13"/>
          <c:order val="12"/>
          <c:tx>
            <c:strRef>
              <c:f>'Debt Funding per FTE Impact'!$N$90</c:f>
              <c:strCache>
                <c:ptCount val="1"/>
                <c:pt idx="0">
                  <c:v>PUWL</c:v>
                </c:pt>
              </c:strCache>
            </c:strRef>
          </c:tx>
          <c:marker>
            <c:symbol val="none"/>
          </c:marker>
          <c:cat>
            <c:numRef>
              <c:f>'Debt Funding per FTE Impact'!$A$91:$A$107</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'Debt Funding per FTE Impact'!$N$91:$N$107</c:f>
              <c:numCache>
                <c:formatCode>"$"#,##0_);\("$"#,##0\)</c:formatCode>
                <c:ptCount val="9"/>
                <c:pt idx="0">
                  <c:v>903.43292798783966</c:v>
                </c:pt>
                <c:pt idx="1">
                  <c:v>1031.2600417183837</c:v>
                </c:pt>
                <c:pt idx="2">
                  <c:v>1143.6733092184591</c:v>
                </c:pt>
                <c:pt idx="3">
                  <c:v>1197.8802250263352</c:v>
                </c:pt>
                <c:pt idx="4">
                  <c:v>1283.2385661310259</c:v>
                </c:pt>
                <c:pt idx="5">
                  <c:v>1168.7235703597682</c:v>
                </c:pt>
                <c:pt idx="6">
                  <c:v>1174.4622061953398</c:v>
                </c:pt>
                <c:pt idx="7">
                  <c:v>991.52011673187906</c:v>
                </c:pt>
                <c:pt idx="8">
                  <c:v>967.59110384118515</c:v>
                </c:pt>
              </c:numCache>
            </c:numRef>
          </c:val>
          <c:smooth val="0"/>
        </c:ser>
        <c:ser>
          <c:idx val="14"/>
          <c:order val="13"/>
          <c:tx>
            <c:strRef>
              <c:f>'Debt Funding per FTE Impact'!$O$90</c:f>
              <c:strCache>
                <c:ptCount val="1"/>
                <c:pt idx="0">
                  <c:v>PUC</c:v>
                </c:pt>
              </c:strCache>
            </c:strRef>
          </c:tx>
          <c:marker>
            <c:symbol val="none"/>
          </c:marker>
          <c:cat>
            <c:numRef>
              <c:f>'Debt Funding per FTE Impact'!$A$91:$A$107</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'Debt Funding per FTE Impact'!$O$91:$O$107</c:f>
              <c:numCache>
                <c:formatCode>"$"#,##0_);\("$"#,##0\)</c:formatCode>
                <c:ptCount val="9"/>
                <c:pt idx="0">
                  <c:v>332.57457124745144</c:v>
                </c:pt>
                <c:pt idx="1">
                  <c:v>264.53547715363476</c:v>
                </c:pt>
                <c:pt idx="2">
                  <c:v>274.35968043515214</c:v>
                </c:pt>
                <c:pt idx="3">
                  <c:v>239.55615170840628</c:v>
                </c:pt>
                <c:pt idx="4">
                  <c:v>250.32704085913247</c:v>
                </c:pt>
                <c:pt idx="5">
                  <c:v>250.03070727410017</c:v>
                </c:pt>
                <c:pt idx="6">
                  <c:v>249.98271667086166</c:v>
                </c:pt>
                <c:pt idx="7">
                  <c:v>247.34994546522358</c:v>
                </c:pt>
                <c:pt idx="8">
                  <c:v>248.08859803674804</c:v>
                </c:pt>
              </c:numCache>
            </c:numRef>
          </c:val>
          <c:smooth val="0"/>
        </c:ser>
        <c:ser>
          <c:idx val="15"/>
          <c:order val="14"/>
          <c:tx>
            <c:strRef>
              <c:f>'Debt Funding per FTE Impact'!$P$90</c:f>
              <c:strCache>
                <c:ptCount val="1"/>
                <c:pt idx="0">
                  <c:v>PUNC</c:v>
                </c:pt>
              </c:strCache>
            </c:strRef>
          </c:tx>
          <c:marker>
            <c:symbol val="none"/>
          </c:marker>
          <c:cat>
            <c:numRef>
              <c:f>'Debt Funding per FTE Impact'!$A$91:$A$107</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'Debt Funding per FTE Impact'!$P$91:$P$107</c:f>
              <c:numCache>
                <c:formatCode>"$"#,##0_);\("$"#,##0\)</c:formatCode>
                <c:ptCount val="9"/>
                <c:pt idx="0">
                  <c:v>0</c:v>
                </c:pt>
                <c:pt idx="1">
                  <c:v>0</c:v>
                </c:pt>
                <c:pt idx="2">
                  <c:v>0</c:v>
                </c:pt>
                <c:pt idx="3">
                  <c:v>0</c:v>
                </c:pt>
                <c:pt idx="4">
                  <c:v>0</c:v>
                </c:pt>
                <c:pt idx="5">
                  <c:v>0</c:v>
                </c:pt>
                <c:pt idx="6">
                  <c:v>0</c:v>
                </c:pt>
                <c:pt idx="7">
                  <c:v>666.90941861608667</c:v>
                </c:pt>
                <c:pt idx="8">
                  <c:v>666.90941861608667</c:v>
                </c:pt>
              </c:numCache>
            </c:numRef>
          </c:val>
          <c:smooth val="0"/>
        </c:ser>
        <c:ser>
          <c:idx val="16"/>
          <c:order val="15"/>
          <c:tx>
            <c:strRef>
              <c:f>'Debt Funding per FTE Impact'!$Q$90</c:f>
              <c:strCache>
                <c:ptCount val="1"/>
                <c:pt idx="0">
                  <c:v>IPFW</c:v>
                </c:pt>
              </c:strCache>
            </c:strRef>
          </c:tx>
          <c:spPr>
            <a:ln w="25400">
              <a:solidFill>
                <a:srgbClr val="FF0000"/>
              </a:solidFill>
            </a:ln>
          </c:spPr>
          <c:marker>
            <c:symbol val="none"/>
          </c:marker>
          <c:cat>
            <c:numRef>
              <c:f>'Debt Funding per FTE Impact'!$A$91:$A$107</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'Debt Funding per FTE Impact'!$Q$91:$Q$107</c:f>
              <c:numCache>
                <c:formatCode>"$"#,##0_);\("$"#,##0\)</c:formatCode>
                <c:ptCount val="9"/>
                <c:pt idx="0">
                  <c:v>394.48461388645444</c:v>
                </c:pt>
                <c:pt idx="1">
                  <c:v>504.24822398662758</c:v>
                </c:pt>
                <c:pt idx="2">
                  <c:v>621.4187353412442</c:v>
                </c:pt>
                <c:pt idx="3">
                  <c:v>643.11439359807775</c:v>
                </c:pt>
                <c:pt idx="4">
                  <c:v>636.42131250465559</c:v>
                </c:pt>
                <c:pt idx="5">
                  <c:v>575.92755365902974</c:v>
                </c:pt>
                <c:pt idx="6">
                  <c:v>576.76534749342898</c:v>
                </c:pt>
                <c:pt idx="7">
                  <c:v>565.09880497589734</c:v>
                </c:pt>
                <c:pt idx="8">
                  <c:v>565.29247762655234</c:v>
                </c:pt>
              </c:numCache>
            </c:numRef>
          </c:val>
          <c:smooth val="0"/>
        </c:ser>
        <c:ser>
          <c:idx val="12"/>
          <c:order val="16"/>
          <c:tx>
            <c:strRef>
              <c:f>'Debt Funding per FTE Impact'!$R$90</c:f>
              <c:strCache>
                <c:ptCount val="1"/>
                <c:pt idx="0">
                  <c:v>All IHE</c:v>
                </c:pt>
              </c:strCache>
            </c:strRef>
          </c:tx>
          <c:spPr>
            <a:ln w="38100">
              <a:solidFill>
                <a:schemeClr val="tx1"/>
              </a:solidFill>
            </a:ln>
          </c:spPr>
          <c:marker>
            <c:symbol val="none"/>
          </c:marker>
          <c:cat>
            <c:numRef>
              <c:f>'Debt Funding per FTE Impact'!$A$91:$A$107</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'Debt Funding per FTE Impact'!$R$91:$R$107</c:f>
              <c:numCache>
                <c:formatCode>"$"#,##0_);\("$"#,##0\)</c:formatCode>
                <c:ptCount val="9"/>
                <c:pt idx="0">
                  <c:v>726.54832799374174</c:v>
                </c:pt>
                <c:pt idx="1">
                  <c:v>851.55570274083368</c:v>
                </c:pt>
                <c:pt idx="2">
                  <c:v>920.34091805669118</c:v>
                </c:pt>
                <c:pt idx="3">
                  <c:v>789.44806669144452</c:v>
                </c:pt>
                <c:pt idx="4">
                  <c:v>817.69333894905367</c:v>
                </c:pt>
                <c:pt idx="5">
                  <c:v>702.33641693003131</c:v>
                </c:pt>
                <c:pt idx="6">
                  <c:v>700.24292743216483</c:v>
                </c:pt>
                <c:pt idx="7">
                  <c:v>725.51913449005826</c:v>
                </c:pt>
                <c:pt idx="8">
                  <c:v>714.83068205627092</c:v>
                </c:pt>
              </c:numCache>
            </c:numRef>
          </c:val>
          <c:smooth val="0"/>
        </c:ser>
        <c:dLbls>
          <c:showLegendKey val="0"/>
          <c:showVal val="0"/>
          <c:showCatName val="0"/>
          <c:showSerName val="0"/>
          <c:showPercent val="0"/>
          <c:showBubbleSize val="0"/>
        </c:dLbls>
        <c:marker val="1"/>
        <c:smooth val="0"/>
        <c:axId val="167011840"/>
        <c:axId val="160159936"/>
      </c:lineChart>
      <c:catAx>
        <c:axId val="167011840"/>
        <c:scaling>
          <c:orientation val="minMax"/>
        </c:scaling>
        <c:delete val="0"/>
        <c:axPos val="b"/>
        <c:numFmt formatCode="General" sourceLinked="1"/>
        <c:majorTickMark val="out"/>
        <c:minorTickMark val="none"/>
        <c:tickLblPos val="nextTo"/>
        <c:crossAx val="160159936"/>
        <c:crosses val="autoZero"/>
        <c:auto val="1"/>
        <c:lblAlgn val="ctr"/>
        <c:lblOffset val="100"/>
        <c:noMultiLvlLbl val="0"/>
      </c:catAx>
      <c:valAx>
        <c:axId val="160159936"/>
        <c:scaling>
          <c:orientation val="minMax"/>
          <c:max val="2000"/>
          <c:min val="0"/>
        </c:scaling>
        <c:delete val="0"/>
        <c:axPos val="l"/>
        <c:majorGridlines/>
        <c:numFmt formatCode="&quot;$&quot;#,##0_);\(&quot;$&quot;#,##0\)" sourceLinked="1"/>
        <c:majorTickMark val="out"/>
        <c:minorTickMark val="none"/>
        <c:tickLblPos val="nextTo"/>
        <c:crossAx val="167011840"/>
        <c:crosses val="autoZero"/>
        <c:crossBetween val="between"/>
      </c:valAx>
    </c:plotArea>
    <c:legend>
      <c:legendPos val="r"/>
      <c:overlay val="0"/>
    </c:legend>
    <c:plotVisOnly val="1"/>
    <c:dispBlanksAs val="gap"/>
    <c:showDLblsOverMax val="0"/>
  </c:chart>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'Debt Ratio'!$A$1</c:f>
              <c:strCache>
                <c:ptCount val="1"/>
                <c:pt idx="0">
                  <c:v>University Operating versus Debt (Ratio) 2000-2015</c:v>
                </c:pt>
              </c:strCache>
            </c:strRef>
          </c:tx>
          <c:invertIfNegative val="0"/>
          <c:dPt>
            <c:idx val="14"/>
            <c:invertIfNegative val="0"/>
            <c:bubble3D val="0"/>
            <c:spPr>
              <a:solidFill>
                <a:srgbClr val="FF0000"/>
              </a:solidFill>
            </c:spPr>
          </c:dPt>
          <c:dPt>
            <c:idx val="15"/>
            <c:invertIfNegative val="0"/>
            <c:bubble3D val="0"/>
            <c:spPr>
              <a:solidFill>
                <a:srgbClr val="FF0000"/>
              </a:solidFill>
            </c:spPr>
          </c:dPt>
          <c:dLbls>
            <c:spPr>
              <a:solidFill>
                <a:schemeClr val="bg1">
                  <a:lumMod val="75000"/>
                </a:schemeClr>
              </a:solidFill>
              <a:ln>
                <a:solidFill>
                  <a:schemeClr val="accent1"/>
                </a:solidFill>
              </a:ln>
            </c:spPr>
            <c:showLegendKey val="0"/>
            <c:showVal val="1"/>
            <c:showCatName val="0"/>
            <c:showSerName val="0"/>
            <c:showPercent val="0"/>
            <c:showBubbleSize val="0"/>
            <c:showLeaderLines val="0"/>
          </c:dLbls>
          <c:cat>
            <c:strRef>
              <c:f>'Debt Ratio'!$B$3:$Q$3</c:f>
              <c:strCach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 Proj.</c:v>
                </c:pt>
                <c:pt idx="15">
                  <c:v>2015 Proj.</c:v>
                </c:pt>
              </c:strCache>
            </c:strRef>
          </c:cat>
          <c:val>
            <c:numRef>
              <c:f>'Debt Ratio'!$B$56:$Q$56</c:f>
              <c:numCache>
                <c:formatCode>0.0%</c:formatCode>
                <c:ptCount val="16"/>
                <c:pt idx="0">
                  <c:v>9.2705897037307722E-2</c:v>
                </c:pt>
                <c:pt idx="1">
                  <c:v>9.1861998845286313E-2</c:v>
                </c:pt>
                <c:pt idx="2">
                  <c:v>9.5795601604881389E-2</c:v>
                </c:pt>
                <c:pt idx="3">
                  <c:v>9.2116759030969428E-2</c:v>
                </c:pt>
                <c:pt idx="4">
                  <c:v>9.1070168070485444E-2</c:v>
                </c:pt>
                <c:pt idx="5">
                  <c:v>8.356466890710211E-2</c:v>
                </c:pt>
                <c:pt idx="6">
                  <c:v>8.7727253060448096E-2</c:v>
                </c:pt>
                <c:pt idx="7">
                  <c:v>9.973174644847993E-2</c:v>
                </c:pt>
                <c:pt idx="8">
                  <c:v>0.11357208298301819</c:v>
                </c:pt>
                <c:pt idx="9">
                  <c:v>0.12114966333277645</c:v>
                </c:pt>
                <c:pt idx="10">
                  <c:v>0.11969734339321095</c:v>
                </c:pt>
                <c:pt idx="11">
                  <c:v>0.12607633977155364</c:v>
                </c:pt>
                <c:pt idx="12">
                  <c:v>0.11091350611132533</c:v>
                </c:pt>
                <c:pt idx="13">
                  <c:v>0.1110852672710984</c:v>
                </c:pt>
                <c:pt idx="14">
                  <c:v>0.11071102161747932</c:v>
                </c:pt>
                <c:pt idx="15">
                  <c:v>0.1093382315808322</c:v>
                </c:pt>
              </c:numCache>
            </c:numRef>
          </c:val>
        </c:ser>
        <c:dLbls>
          <c:showLegendKey val="0"/>
          <c:showVal val="0"/>
          <c:showCatName val="0"/>
          <c:showSerName val="0"/>
          <c:showPercent val="0"/>
          <c:showBubbleSize val="0"/>
        </c:dLbls>
        <c:gapWidth val="150"/>
        <c:axId val="167728640"/>
        <c:axId val="167576704"/>
      </c:barChart>
      <c:catAx>
        <c:axId val="167728640"/>
        <c:scaling>
          <c:orientation val="minMax"/>
        </c:scaling>
        <c:delete val="0"/>
        <c:axPos val="b"/>
        <c:numFmt formatCode="General" sourceLinked="1"/>
        <c:majorTickMark val="out"/>
        <c:minorTickMark val="none"/>
        <c:tickLblPos val="nextTo"/>
        <c:crossAx val="167576704"/>
        <c:crosses val="autoZero"/>
        <c:auto val="1"/>
        <c:lblAlgn val="ctr"/>
        <c:lblOffset val="100"/>
        <c:noMultiLvlLbl val="0"/>
      </c:catAx>
      <c:valAx>
        <c:axId val="167576704"/>
        <c:scaling>
          <c:orientation val="minMax"/>
        </c:scaling>
        <c:delete val="0"/>
        <c:axPos val="l"/>
        <c:majorGridlines/>
        <c:numFmt formatCode="0.0%" sourceLinked="1"/>
        <c:majorTickMark val="out"/>
        <c:minorTickMark val="none"/>
        <c:tickLblPos val="nextTo"/>
        <c:crossAx val="167728640"/>
        <c:crosses val="autoZero"/>
        <c:crossBetween val="between"/>
      </c:valAx>
    </c:plotArea>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4.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8.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9.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1.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3.bin"/></Relationships>
</file>

<file path=xl/chartsheets/sheet1.xml><?xml version="1.0" encoding="utf-8"?>
<chartsheet xmlns="http://schemas.openxmlformats.org/spreadsheetml/2006/main" xmlns:r="http://schemas.openxmlformats.org/officeDocument/2006/relationships">
  <sheetPr/>
  <sheetViews>
    <sheetView zoomScale="78" workbookViewId="0" zoomToFit="1"/>
  </sheetViews>
  <pageMargins left="0.7" right="0.7" top="0.75" bottom="0.75" header="0.3" footer="0.3"/>
  <pageSetup orientation="landscape" r:id="rId1"/>
  <headerFooter>
    <oddFooter>&amp;LHouse Ways and Means Cmte Amendment 1001 2-14-13&amp;R&amp;D</oddFooter>
  </headerFooter>
  <drawing r:id="rId2"/>
</chartsheet>
</file>

<file path=xl/chartsheets/sheet2.xml><?xml version="1.0" encoding="utf-8"?>
<chartsheet xmlns="http://schemas.openxmlformats.org/spreadsheetml/2006/main" xmlns:r="http://schemas.openxmlformats.org/officeDocument/2006/relationships">
  <sheetPr/>
  <sheetViews>
    <sheetView zoomScale="78" workbookViewId="0" zoomToFit="1"/>
  </sheetViews>
  <pageMargins left="0.7" right="0.7" top="0.75" bottom="0.75" header="0.3" footer="0.3"/>
  <pageSetup orientation="landscape" r:id="rId1"/>
  <headerFooter>
    <oddFooter>&amp;LHouse Ways and Means Cmte Amendment 1001 2-14-13&amp;R&amp;D</oddFooter>
  </headerFooter>
  <drawing r:id="rId2"/>
</chartsheet>
</file>

<file path=xl/chartsheets/sheet3.xml><?xml version="1.0" encoding="utf-8"?>
<chartsheet xmlns="http://schemas.openxmlformats.org/spreadsheetml/2006/main" xmlns:r="http://schemas.openxmlformats.org/officeDocument/2006/relationships">
  <sheetPr/>
  <sheetViews>
    <sheetView zoomScale="73" workbookViewId="0" zoomToFit="1"/>
  </sheetViews>
  <pageMargins left="0.43" right="0.65" top="0.41" bottom="0.5" header="0.3" footer="0.3"/>
  <pageSetup orientation="landscape" r:id="rId1"/>
  <headerFooter>
    <oddFooter>&amp;LHouse Ways and Means Cmte Amendment 1001 2-14-13&amp;R&amp;D</oddFooter>
  </headerFooter>
  <drawing r:id="rId2"/>
</chartsheet>
</file>

<file path=xl/chartsheets/sheet4.xml><?xml version="1.0" encoding="utf-8"?>
<chartsheet xmlns="http://schemas.openxmlformats.org/spreadsheetml/2006/main" xmlns:r="http://schemas.openxmlformats.org/officeDocument/2006/relationships">
  <sheetPr/>
  <sheetViews>
    <sheetView zoomScale="78" workbookViewId="0" zoomToFit="1"/>
  </sheetViews>
  <pageMargins left="0.7" right="0.7" top="0.75" bottom="0.75" header="0.3" footer="0.3"/>
  <pageSetup orientation="landscape" r:id="rId1"/>
  <headerFooter>
    <oddFooter>&amp;LHouse Ways and Means Cmte Amendment 1001 2-14-13&amp;R&amp;D</oddFooter>
  </headerFooter>
  <drawing r:id="rId2"/>
</chartsheet>
</file>

<file path=xl/chartsheets/sheet5.xml><?xml version="1.0" encoding="utf-8"?>
<chartsheet xmlns="http://schemas.openxmlformats.org/spreadsheetml/2006/main" xmlns:r="http://schemas.openxmlformats.org/officeDocument/2006/relationships">
  <sheetPr/>
  <sheetViews>
    <sheetView zoomScale="73" workbookViewId="0" zoomToFit="1"/>
  </sheetViews>
  <pageMargins left="0.43" right="0.65" top="0.41" bottom="0.5" header="0.3" footer="0.3"/>
  <pageSetup orientation="landscape" r:id="rId1"/>
  <headerFooter>
    <oddFooter>&amp;LHouse Ways and Means Cmte Amendment 1001 2-14-13&amp;R&amp;D</oddFooter>
  </headerFooter>
  <drawing r:id="rId2"/>
</chartsheet>
</file>

<file path=xl/chartsheets/sheet6.xml><?xml version="1.0" encoding="utf-8"?>
<chartsheet xmlns="http://schemas.openxmlformats.org/spreadsheetml/2006/main" xmlns:r="http://schemas.openxmlformats.org/officeDocument/2006/relationships">
  <sheetPr/>
  <sheetViews>
    <sheetView zoomScale="78" workbookViewId="0" zoomToFit="1"/>
  </sheetViews>
  <pageMargins left="0.7" right="0.7" top="0.75" bottom="0.75" header="0.3" footer="0.3"/>
  <pageSetup orientation="landscape" r:id="rId1"/>
  <headerFooter>
    <oddFooter>&amp;LHouse Ways and Means Cmte Amendment 1001 2-14-13&amp;R&amp;D</oddFooter>
  </headerFooter>
  <drawing r:id="rId2"/>
</chartsheet>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5</xdr:col>
      <xdr:colOff>627530</xdr:colOff>
      <xdr:row>62</xdr:row>
      <xdr:rowOff>112059</xdr:rowOff>
    </xdr:from>
    <xdr:to>
      <xdr:col>10</xdr:col>
      <xdr:colOff>302559</xdr:colOff>
      <xdr:row>69</xdr:row>
      <xdr:rowOff>112059</xdr:rowOff>
    </xdr:to>
    <xdr:cxnSp macro="">
      <xdr:nvCxnSpPr>
        <xdr:cNvPr id="3" name="Straight Arrow Connector 2"/>
        <xdr:cNvCxnSpPr/>
      </xdr:nvCxnSpPr>
      <xdr:spPr>
        <a:xfrm>
          <a:off x="7160559" y="9816353"/>
          <a:ext cx="3922059" cy="1120588"/>
        </a:xfrm>
        <a:prstGeom prst="straightConnector1">
          <a:avLst/>
        </a:prstGeom>
        <a:ln w="2222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c:userShapes xmlns:c="http://schemas.openxmlformats.org/drawingml/2006/chart">
  <cdr:relSizeAnchor xmlns:cdr="http://schemas.openxmlformats.org/drawingml/2006/chartDrawing">
    <cdr:from>
      <cdr:x>0.21878</cdr:x>
      <cdr:y>0.09024</cdr:y>
    </cdr:from>
    <cdr:to>
      <cdr:x>0.41895</cdr:x>
      <cdr:y>0.18293</cdr:y>
    </cdr:to>
    <cdr:sp macro="" textlink="">
      <cdr:nvSpPr>
        <cdr:cNvPr id="4" name="TextBox 3"/>
        <cdr:cNvSpPr txBox="1"/>
      </cdr:nvSpPr>
      <cdr:spPr>
        <a:xfrm xmlns:a="http://schemas.openxmlformats.org/drawingml/2006/main">
          <a:off x="1897319" y="568427"/>
          <a:ext cx="1736008" cy="5837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0.66463</cdr:x>
      <cdr:y>0.08192</cdr:y>
    </cdr:from>
    <cdr:to>
      <cdr:x>0.66463</cdr:x>
      <cdr:y>0.93097</cdr:y>
    </cdr:to>
    <cdr:sp macro="" textlink="">
      <cdr:nvSpPr>
        <cdr:cNvPr id="9" name="Straight Connector 8"/>
        <cdr:cNvSpPr/>
      </cdr:nvSpPr>
      <cdr:spPr>
        <a:xfrm xmlns:a="http://schemas.openxmlformats.org/drawingml/2006/main" rot="5400000" flipH="1" flipV="1">
          <a:off x="3048164" y="3354601"/>
          <a:ext cx="5623943" cy="0"/>
        </a:xfrm>
        <a:prstGeom xmlns:a="http://schemas.openxmlformats.org/drawingml/2006/main" prst="line">
          <a:avLst/>
        </a:prstGeom>
        <a:noFill xmlns:a="http://schemas.openxmlformats.org/drawingml/2006/main"/>
        <a:ln xmlns:a="http://schemas.openxmlformats.org/drawingml/2006/main" w="38100" cap="flat" cmpd="sng" algn="ctr">
          <a:solidFill>
            <a:srgbClr val="FF0000"/>
          </a:solidFill>
          <a:prstDash val="dash"/>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en-US"/>
        </a:p>
      </cdr:txBody>
    </cdr:sp>
  </cdr:relSizeAnchor>
  <cdr:relSizeAnchor xmlns:cdr="http://schemas.openxmlformats.org/drawingml/2006/chartDrawing">
    <cdr:from>
      <cdr:x>0.47969</cdr:x>
      <cdr:y>0.07915</cdr:y>
    </cdr:from>
    <cdr:to>
      <cdr:x>0.48266</cdr:x>
      <cdr:y>0.93272</cdr:y>
    </cdr:to>
    <cdr:sp macro="" textlink="">
      <cdr:nvSpPr>
        <cdr:cNvPr id="11" name="Straight Connector 10"/>
        <cdr:cNvSpPr/>
      </cdr:nvSpPr>
      <cdr:spPr>
        <a:xfrm xmlns:a="http://schemas.openxmlformats.org/drawingml/2006/main" rot="16200000">
          <a:off x="1415622" y="3338132"/>
          <a:ext cx="5653883" cy="26187"/>
        </a:xfrm>
        <a:prstGeom xmlns:a="http://schemas.openxmlformats.org/drawingml/2006/main" prst="line">
          <a:avLst/>
        </a:prstGeom>
        <a:ln xmlns:a="http://schemas.openxmlformats.org/drawingml/2006/main" w="38100">
          <a:solidFill>
            <a:srgbClr val="00206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0.71952</cdr:x>
      <cdr:y>0.09763</cdr:y>
    </cdr:from>
    <cdr:to>
      <cdr:x>0.96531</cdr:x>
      <cdr:y>0.21636</cdr:y>
    </cdr:to>
    <cdr:sp macro="" textlink="">
      <cdr:nvSpPr>
        <cdr:cNvPr id="12" name="TextBox 11"/>
        <cdr:cNvSpPr txBox="1"/>
      </cdr:nvSpPr>
      <cdr:spPr>
        <a:xfrm xmlns:a="http://schemas.openxmlformats.org/drawingml/2006/main">
          <a:off x="6344175" y="646651"/>
          <a:ext cx="2167156" cy="786468"/>
        </a:xfrm>
        <a:prstGeom xmlns:a="http://schemas.openxmlformats.org/drawingml/2006/main" prst="rect">
          <a:avLst/>
        </a:prstGeom>
        <a:solidFill xmlns:a="http://schemas.openxmlformats.org/drawingml/2006/main">
          <a:schemeClr val="bg1">
            <a:lumMod val="65000"/>
          </a:schemeClr>
        </a:solidFill>
        <a:ln xmlns:a="http://schemas.openxmlformats.org/drawingml/2006/main">
          <a:solidFill>
            <a:sysClr val="windowText" lastClr="000000"/>
          </a:solidFill>
        </a:ln>
      </cdr:spPr>
      <cdr:txBody>
        <a:bodyPr xmlns:a="http://schemas.openxmlformats.org/drawingml/2006/main" vertOverflow="clip" wrap="square" rtlCol="0"/>
        <a:lstStyle xmlns:a="http://schemas.openxmlformats.org/drawingml/2006/main"/>
        <a:p xmlns:a="http://schemas.openxmlformats.org/drawingml/2006/main">
          <a:pPr algn="l"/>
          <a:r>
            <a:rPr lang="en-US" sz="1100" b="1"/>
            <a:t>Last Year of Actual</a:t>
          </a:r>
          <a:r>
            <a:rPr lang="en-US" sz="1100" b="1" baseline="0"/>
            <a:t> Enrollment</a:t>
          </a:r>
        </a:p>
        <a:p xmlns:a="http://schemas.openxmlformats.org/drawingml/2006/main">
          <a:pPr algn="l"/>
          <a:endParaRPr lang="en-US" sz="1100" b="1" baseline="0"/>
        </a:p>
        <a:p xmlns:a="http://schemas.openxmlformats.org/drawingml/2006/main">
          <a:pPr algn="l"/>
          <a:endParaRPr lang="en-US" sz="1100" b="1" baseline="0"/>
        </a:p>
        <a:p xmlns:a="http://schemas.openxmlformats.org/drawingml/2006/main">
          <a:pPr algn="l"/>
          <a:r>
            <a:rPr lang="en-US" sz="1100" b="1" baseline="0"/>
            <a:t>Last Year of Actual Funding</a:t>
          </a:r>
          <a:endParaRPr lang="en-US" sz="1100" b="1"/>
        </a:p>
      </cdr:txBody>
    </cdr:sp>
  </cdr:relSizeAnchor>
  <cdr:relSizeAnchor xmlns:cdr="http://schemas.openxmlformats.org/drawingml/2006/chartDrawing">
    <cdr:from>
      <cdr:x>0.4886</cdr:x>
      <cdr:y>0.11183</cdr:y>
    </cdr:from>
    <cdr:to>
      <cdr:x>0.72052</cdr:x>
      <cdr:y>0.11873</cdr:y>
    </cdr:to>
    <cdr:sp macro="" textlink="">
      <cdr:nvSpPr>
        <cdr:cNvPr id="14" name="Straight Arrow Connector 13"/>
        <cdr:cNvSpPr/>
      </cdr:nvSpPr>
      <cdr:spPr>
        <a:xfrm xmlns:a="http://schemas.openxmlformats.org/drawingml/2006/main" rot="10800000">
          <a:off x="4308096" y="740725"/>
          <a:ext cx="2044857" cy="45719"/>
        </a:xfrm>
        <a:prstGeom xmlns:a="http://schemas.openxmlformats.org/drawingml/2006/main" prst="straightConnector1">
          <a:avLst/>
        </a:prstGeom>
        <a:ln xmlns:a="http://schemas.openxmlformats.org/drawingml/2006/main" w="254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0.67096</cdr:x>
      <cdr:y>0.19525</cdr:y>
    </cdr:from>
    <cdr:to>
      <cdr:x>0.71952</cdr:x>
      <cdr:y>0.25594</cdr:y>
    </cdr:to>
    <cdr:sp macro="" textlink="">
      <cdr:nvSpPr>
        <cdr:cNvPr id="16" name="Straight Arrow Connector 15"/>
        <cdr:cNvSpPr/>
      </cdr:nvSpPr>
      <cdr:spPr>
        <a:xfrm xmlns:a="http://schemas.openxmlformats.org/drawingml/2006/main" rot="10800000" flipV="1">
          <a:off x="5915985" y="1293297"/>
          <a:ext cx="428151" cy="401977"/>
        </a:xfrm>
        <a:prstGeom xmlns:a="http://schemas.openxmlformats.org/drawingml/2006/main" prst="straightConnector1">
          <a:avLst/>
        </a:prstGeom>
        <a:ln xmlns:a="http://schemas.openxmlformats.org/drawingml/2006/main" w="254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8668956" cy="629373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8956" cy="629373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0.44259</cdr:x>
      <cdr:y>0.08705</cdr:y>
    </cdr:from>
    <cdr:to>
      <cdr:x>0.44259</cdr:x>
      <cdr:y>0.85809</cdr:y>
    </cdr:to>
    <cdr:sp macro="" textlink="">
      <cdr:nvSpPr>
        <cdr:cNvPr id="3" name="Straight Connector 2"/>
        <cdr:cNvSpPr/>
      </cdr:nvSpPr>
      <cdr:spPr>
        <a:xfrm xmlns:a="http://schemas.openxmlformats.org/drawingml/2006/main" rot="5400000" flipH="1" flipV="1">
          <a:off x="1420020" y="2777666"/>
          <a:ext cx="4532058" cy="1"/>
        </a:xfrm>
        <a:prstGeom xmlns:a="http://schemas.openxmlformats.org/drawingml/2006/main" prst="line">
          <a:avLst/>
        </a:prstGeom>
        <a:ln xmlns:a="http://schemas.openxmlformats.org/drawingml/2006/main" w="381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0.85558</cdr:x>
      <cdr:y>0.94436</cdr:y>
    </cdr:from>
    <cdr:to>
      <cdr:x>1</cdr:x>
      <cdr:y>0.98831</cdr:y>
    </cdr:to>
    <cdr:sp macro="" textlink="">
      <cdr:nvSpPr>
        <cdr:cNvPr id="4" name="TextBox 3"/>
        <cdr:cNvSpPr txBox="1"/>
      </cdr:nvSpPr>
      <cdr:spPr>
        <a:xfrm xmlns:a="http://schemas.openxmlformats.org/drawingml/2006/main">
          <a:off x="7126296" y="5550800"/>
          <a:ext cx="1202733" cy="2583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4.xml><?xml version="1.0" encoding="utf-8"?>
<xdr:wsDr xmlns:xdr="http://schemas.openxmlformats.org/drawingml/2006/spreadsheetDrawing" xmlns:a="http://schemas.openxmlformats.org/drawingml/2006/main">
  <xdr:absoluteAnchor>
    <xdr:pos x="0" y="0"/>
    <xdr:ext cx="8670192" cy="628894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0.20804</cdr:x>
      <cdr:y>0.09117</cdr:y>
    </cdr:from>
    <cdr:to>
      <cdr:x>0.20804</cdr:x>
      <cdr:y>0.86221</cdr:y>
    </cdr:to>
    <cdr:sp macro="" textlink="">
      <cdr:nvSpPr>
        <cdr:cNvPr id="3" name="Straight Connector 2"/>
        <cdr:cNvSpPr/>
      </cdr:nvSpPr>
      <cdr:spPr>
        <a:xfrm xmlns:a="http://schemas.openxmlformats.org/drawingml/2006/main" rot="5400000" flipH="1" flipV="1">
          <a:off x="-533440" y="2801898"/>
          <a:ext cx="4532035" cy="0"/>
        </a:xfrm>
        <a:prstGeom xmlns:a="http://schemas.openxmlformats.org/drawingml/2006/main" prst="line">
          <a:avLst/>
        </a:prstGeom>
        <a:ln xmlns:a="http://schemas.openxmlformats.org/drawingml/2006/main" w="381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0.85558</cdr:x>
      <cdr:y>0.94436</cdr:y>
    </cdr:from>
    <cdr:to>
      <cdr:x>1</cdr:x>
      <cdr:y>0.98831</cdr:y>
    </cdr:to>
    <cdr:sp macro="" textlink="">
      <cdr:nvSpPr>
        <cdr:cNvPr id="4" name="TextBox 3"/>
        <cdr:cNvSpPr txBox="1"/>
      </cdr:nvSpPr>
      <cdr:spPr>
        <a:xfrm xmlns:a="http://schemas.openxmlformats.org/drawingml/2006/main">
          <a:off x="7126296" y="5550800"/>
          <a:ext cx="1202733" cy="2583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6.xml><?xml version="1.0" encoding="utf-8"?>
<xdr:wsDr xmlns:xdr="http://schemas.openxmlformats.org/drawingml/2006/spreadsheetDrawing" xmlns:a="http://schemas.openxmlformats.org/drawingml/2006/main">
  <xdr:absoluteAnchor>
    <xdr:pos x="0" y="0"/>
    <xdr:ext cx="8950890" cy="68240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0.21878</cdr:x>
      <cdr:y>0.09024</cdr:y>
    </cdr:from>
    <cdr:to>
      <cdr:x>0.41895</cdr:x>
      <cdr:y>0.18293</cdr:y>
    </cdr:to>
    <cdr:sp macro="" textlink="">
      <cdr:nvSpPr>
        <cdr:cNvPr id="4" name="TextBox 3"/>
        <cdr:cNvSpPr txBox="1"/>
      </cdr:nvSpPr>
      <cdr:spPr>
        <a:xfrm xmlns:a="http://schemas.openxmlformats.org/drawingml/2006/main">
          <a:off x="1897319" y="568427"/>
          <a:ext cx="1736008" cy="5837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0.63985</cdr:x>
      <cdr:y>0.08324</cdr:y>
    </cdr:from>
    <cdr:to>
      <cdr:x>0.63985</cdr:x>
      <cdr:y>0.93229</cdr:y>
    </cdr:to>
    <cdr:sp macro="" textlink="">
      <cdr:nvSpPr>
        <cdr:cNvPr id="6" name="Straight Connector 5"/>
        <cdr:cNvSpPr/>
      </cdr:nvSpPr>
      <cdr:spPr>
        <a:xfrm xmlns:a="http://schemas.openxmlformats.org/drawingml/2006/main" rot="5400000" flipH="1" flipV="1">
          <a:off x="2874976" y="3198305"/>
          <a:ext cx="5347984" cy="0"/>
        </a:xfrm>
        <a:prstGeom xmlns:a="http://schemas.openxmlformats.org/drawingml/2006/main" prst="line">
          <a:avLst/>
        </a:prstGeom>
        <a:ln xmlns:a="http://schemas.openxmlformats.org/drawingml/2006/main" w="38100">
          <a:solidFill>
            <a:srgbClr val="FF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0.63985</cdr:x>
      <cdr:y>0.08324</cdr:y>
    </cdr:from>
    <cdr:to>
      <cdr:x>0.63985</cdr:x>
      <cdr:y>0.93229</cdr:y>
    </cdr:to>
    <cdr:sp macro="" textlink="">
      <cdr:nvSpPr>
        <cdr:cNvPr id="7" name="Straight Connector 6"/>
        <cdr:cNvSpPr/>
      </cdr:nvSpPr>
      <cdr:spPr>
        <a:xfrm xmlns:a="http://schemas.openxmlformats.org/drawingml/2006/main" rot="5400000" flipH="1" flipV="1">
          <a:off x="2874976" y="3198305"/>
          <a:ext cx="5347984" cy="0"/>
        </a:xfrm>
        <a:prstGeom xmlns:a="http://schemas.openxmlformats.org/drawingml/2006/main" prst="line">
          <a:avLst/>
        </a:prstGeom>
        <a:ln xmlns:a="http://schemas.openxmlformats.org/drawingml/2006/main" w="38100">
          <a:solidFill>
            <a:srgbClr val="FF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0.63985</cdr:x>
      <cdr:y>0.08324</cdr:y>
    </cdr:from>
    <cdr:to>
      <cdr:x>0.63985</cdr:x>
      <cdr:y>0.93229</cdr:y>
    </cdr:to>
    <cdr:sp macro="" textlink="">
      <cdr:nvSpPr>
        <cdr:cNvPr id="9" name="Straight Connector 8"/>
        <cdr:cNvSpPr/>
      </cdr:nvSpPr>
      <cdr:spPr>
        <a:xfrm xmlns:a="http://schemas.openxmlformats.org/drawingml/2006/main" rot="5400000" flipH="1" flipV="1">
          <a:off x="2874976" y="3198305"/>
          <a:ext cx="5347984" cy="0"/>
        </a:xfrm>
        <a:prstGeom xmlns:a="http://schemas.openxmlformats.org/drawingml/2006/main" prst="line">
          <a:avLst/>
        </a:prstGeom>
        <a:noFill xmlns:a="http://schemas.openxmlformats.org/drawingml/2006/main"/>
        <a:ln xmlns:a="http://schemas.openxmlformats.org/drawingml/2006/main" w="38100" cap="flat" cmpd="sng" algn="ctr">
          <a:solidFill>
            <a:srgbClr val="FF0000"/>
          </a:solidFill>
          <a:prstDash val="dash"/>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en-US"/>
        </a:p>
      </cdr:txBody>
    </cdr:sp>
  </cdr:relSizeAnchor>
  <cdr:relSizeAnchor xmlns:cdr="http://schemas.openxmlformats.org/drawingml/2006/chartDrawing">
    <cdr:from>
      <cdr:x>0.46581</cdr:x>
      <cdr:y>0.08179</cdr:y>
    </cdr:from>
    <cdr:to>
      <cdr:x>0.46878</cdr:x>
      <cdr:y>0.93536</cdr:y>
    </cdr:to>
    <cdr:sp macro="" textlink="">
      <cdr:nvSpPr>
        <cdr:cNvPr id="11" name="Straight Connector 10"/>
        <cdr:cNvSpPr/>
      </cdr:nvSpPr>
      <cdr:spPr>
        <a:xfrm xmlns:a="http://schemas.openxmlformats.org/drawingml/2006/main" rot="16200000">
          <a:off x="1293304" y="3355596"/>
          <a:ext cx="5653830" cy="26214"/>
        </a:xfrm>
        <a:prstGeom xmlns:a="http://schemas.openxmlformats.org/drawingml/2006/main" prst="line">
          <a:avLst/>
        </a:prstGeom>
        <a:ln xmlns:a="http://schemas.openxmlformats.org/drawingml/2006/main" w="38100">
          <a:solidFill>
            <a:srgbClr val="00206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0.71952</cdr:x>
      <cdr:y>0.09763</cdr:y>
    </cdr:from>
    <cdr:to>
      <cdr:x>0.96531</cdr:x>
      <cdr:y>0.21636</cdr:y>
    </cdr:to>
    <cdr:sp macro="" textlink="">
      <cdr:nvSpPr>
        <cdr:cNvPr id="12" name="TextBox 11"/>
        <cdr:cNvSpPr txBox="1"/>
      </cdr:nvSpPr>
      <cdr:spPr>
        <a:xfrm xmlns:a="http://schemas.openxmlformats.org/drawingml/2006/main">
          <a:off x="6344175" y="646651"/>
          <a:ext cx="2167156" cy="786468"/>
        </a:xfrm>
        <a:prstGeom xmlns:a="http://schemas.openxmlformats.org/drawingml/2006/main" prst="rect">
          <a:avLst/>
        </a:prstGeom>
        <a:solidFill xmlns:a="http://schemas.openxmlformats.org/drawingml/2006/main">
          <a:schemeClr val="bg1">
            <a:lumMod val="65000"/>
          </a:schemeClr>
        </a:solidFill>
        <a:ln xmlns:a="http://schemas.openxmlformats.org/drawingml/2006/main">
          <a:solidFill>
            <a:sysClr val="windowText" lastClr="000000"/>
          </a:solidFill>
        </a:ln>
      </cdr:spPr>
      <cdr:txBody>
        <a:bodyPr xmlns:a="http://schemas.openxmlformats.org/drawingml/2006/main" vertOverflow="clip" wrap="square" rtlCol="0"/>
        <a:lstStyle xmlns:a="http://schemas.openxmlformats.org/drawingml/2006/main"/>
        <a:p xmlns:a="http://schemas.openxmlformats.org/drawingml/2006/main">
          <a:pPr algn="l"/>
          <a:r>
            <a:rPr lang="en-US" sz="1100" b="1"/>
            <a:t>Last Year of Actual</a:t>
          </a:r>
          <a:r>
            <a:rPr lang="en-US" sz="1100" b="1" baseline="0"/>
            <a:t> Enrollment</a:t>
          </a:r>
        </a:p>
        <a:p xmlns:a="http://schemas.openxmlformats.org/drawingml/2006/main">
          <a:pPr algn="l"/>
          <a:endParaRPr lang="en-US" sz="1100" b="1" baseline="0"/>
        </a:p>
        <a:p xmlns:a="http://schemas.openxmlformats.org/drawingml/2006/main">
          <a:pPr algn="l"/>
          <a:endParaRPr lang="en-US" sz="1100" b="1" baseline="0"/>
        </a:p>
        <a:p xmlns:a="http://schemas.openxmlformats.org/drawingml/2006/main">
          <a:pPr algn="l"/>
          <a:r>
            <a:rPr lang="en-US" sz="1100" b="1" baseline="0"/>
            <a:t>Last Year of Actual Funding</a:t>
          </a:r>
          <a:endParaRPr lang="en-US" sz="1100" b="1"/>
        </a:p>
      </cdr:txBody>
    </cdr:sp>
  </cdr:relSizeAnchor>
  <cdr:relSizeAnchor xmlns:cdr="http://schemas.openxmlformats.org/drawingml/2006/chartDrawing">
    <cdr:from>
      <cdr:x>0.47869</cdr:x>
      <cdr:y>0.11609</cdr:y>
    </cdr:from>
    <cdr:to>
      <cdr:x>0.72052</cdr:x>
      <cdr:y>0.11873</cdr:y>
    </cdr:to>
    <cdr:sp macro="" textlink="">
      <cdr:nvSpPr>
        <cdr:cNvPr id="14" name="Straight Arrow Connector 13"/>
        <cdr:cNvSpPr/>
      </cdr:nvSpPr>
      <cdr:spPr>
        <a:xfrm xmlns:a="http://schemas.openxmlformats.org/drawingml/2006/main" rot="10800000">
          <a:off x="4220711" y="768989"/>
          <a:ext cx="2132202" cy="17480"/>
        </a:xfrm>
        <a:prstGeom xmlns:a="http://schemas.openxmlformats.org/drawingml/2006/main" prst="straightConnector1">
          <a:avLst/>
        </a:prstGeom>
        <a:ln xmlns:a="http://schemas.openxmlformats.org/drawingml/2006/main" w="254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0.64618</cdr:x>
      <cdr:y>0.18074</cdr:y>
    </cdr:from>
    <cdr:to>
      <cdr:x>0.71952</cdr:x>
      <cdr:y>0.19525</cdr:y>
    </cdr:to>
    <cdr:sp macro="" textlink="">
      <cdr:nvSpPr>
        <cdr:cNvPr id="16" name="Straight Arrow Connector 15"/>
        <cdr:cNvSpPr/>
      </cdr:nvSpPr>
      <cdr:spPr>
        <a:xfrm xmlns:a="http://schemas.openxmlformats.org/drawingml/2006/main" rot="10800000">
          <a:off x="5697523" y="1197178"/>
          <a:ext cx="646652" cy="96123"/>
        </a:xfrm>
        <a:prstGeom xmlns:a="http://schemas.openxmlformats.org/drawingml/2006/main" prst="straightConnector1">
          <a:avLst/>
        </a:prstGeom>
        <a:ln xmlns:a="http://schemas.openxmlformats.org/drawingml/2006/main" w="254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8.xml><?xml version="1.0" encoding="utf-8"?>
<xdr:wsDr xmlns:xdr="http://schemas.openxmlformats.org/drawingml/2006/spreadsheetDrawing" xmlns:a="http://schemas.openxmlformats.org/drawingml/2006/main">
  <xdr:absoluteAnchor>
    <xdr:pos x="0" y="0"/>
    <xdr:ext cx="8668956" cy="629373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8950890" cy="68240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udget\2009-11\Budget%20Runs\special%20session\09-%2011%20As%20Passed%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source\Budget\2009-11\Budget%20Runs\special%20session\09-%2011%20As%20Passed%20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cindy\Local%20Settings\Temporary%20Internet%20Files\OLK5E\WLF.07.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lectra\fc\Budget\2005-07\Operating%20Requests\2005-07%20Req%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cindy\Local%20Settings\Temporary%20Internet%20Files\OLK5E\FTW.07.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BS\Limited\BFP\LEGREQ\07-09\0709REG\Income%20II\CAL%2007%20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Budget\2011-13\Conf%20Cmte%20Reports\Higher%20Education%20Budget%202011-13%20As-Passed%204-29-1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jong\AppData\Local\Microsoft\Windows\Temporary%20Internet%20Files\Content.Outlook\ICC26B86\CHE%20Analysis%202011-2013%20Budget%20Figures%20CHE%20Original%20Recommendations%20+%20Gov%203%25%20Cut%20%20(1-13-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ms"/>
      <sheetName val="New Format"/>
      <sheetName val="Capital Projects"/>
      <sheetName val="ALL"/>
      <sheetName val="BigPic Approp"/>
      <sheetName val="BigPic Exp"/>
      <sheetName val="Enroll"/>
      <sheetName val="Enroll Calcs"/>
      <sheetName val="Cr Hr Comp CHE#"/>
      <sheetName val="Non-credit"/>
      <sheetName val="Plant"/>
      <sheetName val="Plant Detail"/>
      <sheetName val="Prog"/>
      <sheetName val="Equity"/>
      <sheetName val="Tech"/>
      <sheetName val="Other Adj"/>
      <sheetName val="PS"/>
      <sheetName val="SE"/>
      <sheetName val="Aid"/>
      <sheetName val="Quality"/>
      <sheetName val="Research"/>
      <sheetName val="Research Detail"/>
      <sheetName val="Degree Change"/>
      <sheetName val="Time to Degree"/>
      <sheetName val="Low Income Deg NOV 14 revised"/>
      <sheetName val="2-year transfer"/>
      <sheetName val="Exp"/>
      <sheetName val="Fees"/>
      <sheetName val="BIF Tech"/>
      <sheetName val="Other Inc"/>
      <sheetName val="Approp"/>
      <sheetName val="DS"/>
      <sheetName val="IUB"/>
      <sheetName val="IUE"/>
      <sheetName val="IUK"/>
      <sheetName val="IUN"/>
      <sheetName val="IUSB"/>
      <sheetName val="IUSE"/>
      <sheetName val="IUPUI-H"/>
      <sheetName val="IUPUI-GA"/>
      <sheetName val="IU"/>
      <sheetName val="PUWL"/>
      <sheetName val="PUC"/>
      <sheetName val="PUNC"/>
      <sheetName val="IPFW"/>
      <sheetName val="PU"/>
      <sheetName val="ISU"/>
      <sheetName val="USI"/>
      <sheetName val="BSU"/>
      <sheetName val="VU"/>
      <sheetName val="ITCCI"/>
      <sheetName val="SSACI"/>
      <sheetName val="LI Approp"/>
      <sheetName val="R&amp;R"/>
      <sheetName val="ARRA"/>
      <sheetName val="Med"/>
      <sheetName val="Approp per FTE"/>
      <sheetName val="Lines"/>
      <sheetName val="LI Dist"/>
      <sheetName val="LI Qual"/>
      <sheetName val="LI Ded"/>
      <sheetName val="LI Fed"/>
      <sheetName val="LI Trans"/>
      <sheetName val="LI Tot Rev"/>
      <sheetName val="Amendment"/>
      <sheetName val="amend landsc"/>
      <sheetName val="Historical Campus"/>
      <sheetName val="SBA SR"/>
    </sheetNames>
    <sheetDataSet>
      <sheetData sheetId="0">
        <row r="5">
          <cell r="F5" t="str">
            <v>As-Passed</v>
          </cell>
        </row>
        <row r="6">
          <cell r="F6" t="str">
            <v>As-Passed</v>
          </cell>
        </row>
        <row r="7">
          <cell r="E7">
            <v>0</v>
          </cell>
          <cell r="F7">
            <v>0</v>
          </cell>
        </row>
        <row r="8">
          <cell r="E8">
            <v>0</v>
          </cell>
          <cell r="F8">
            <v>0</v>
          </cell>
        </row>
        <row r="9">
          <cell r="E9">
            <v>0</v>
          </cell>
          <cell r="F9">
            <v>0</v>
          </cell>
        </row>
        <row r="10">
          <cell r="E10">
            <v>0</v>
          </cell>
          <cell r="F10">
            <v>0</v>
          </cell>
        </row>
        <row r="11">
          <cell r="E11">
            <v>0</v>
          </cell>
          <cell r="F11">
            <v>0</v>
          </cell>
        </row>
        <row r="12">
          <cell r="E12">
            <v>0</v>
          </cell>
          <cell r="F12">
            <v>0</v>
          </cell>
        </row>
        <row r="13">
          <cell r="E13">
            <v>0</v>
          </cell>
          <cell r="F13">
            <v>0</v>
          </cell>
        </row>
        <row r="14">
          <cell r="E14">
            <v>0</v>
          </cell>
          <cell r="F14">
            <v>0</v>
          </cell>
        </row>
        <row r="15">
          <cell r="E15">
            <v>0</v>
          </cell>
          <cell r="F15">
            <v>0</v>
          </cell>
        </row>
        <row r="16">
          <cell r="E16">
            <v>0</v>
          </cell>
          <cell r="F16">
            <v>0</v>
          </cell>
        </row>
        <row r="17">
          <cell r="E17">
            <v>0</v>
          </cell>
          <cell r="F17">
            <v>0</v>
          </cell>
        </row>
        <row r="18">
          <cell r="E18">
            <v>0</v>
          </cell>
          <cell r="F18">
            <v>0</v>
          </cell>
        </row>
        <row r="19">
          <cell r="E19">
            <v>0</v>
          </cell>
          <cell r="F19">
            <v>0</v>
          </cell>
        </row>
        <row r="20">
          <cell r="E20">
            <v>0</v>
          </cell>
          <cell r="F20">
            <v>0</v>
          </cell>
        </row>
        <row r="21">
          <cell r="E21">
            <v>0</v>
          </cell>
          <cell r="F21">
            <v>0</v>
          </cell>
        </row>
        <row r="22">
          <cell r="E22">
            <v>0</v>
          </cell>
          <cell r="F22">
            <v>0</v>
          </cell>
        </row>
        <row r="24">
          <cell r="F24" t="str">
            <v>2009-11</v>
          </cell>
        </row>
        <row r="25">
          <cell r="D25" t="str">
            <v>2008-09</v>
          </cell>
          <cell r="E25" t="str">
            <v>2009-2010</v>
          </cell>
          <cell r="F25" t="str">
            <v>2010-11</v>
          </cell>
        </row>
        <row r="26">
          <cell r="E26">
            <v>910</v>
          </cell>
          <cell r="F26">
            <v>1011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ms"/>
      <sheetName val="New Format"/>
      <sheetName val="Capital Projects"/>
      <sheetName val="ALL"/>
      <sheetName val="BigPic Approp"/>
      <sheetName val="BigPic Exp"/>
      <sheetName val="Enroll"/>
      <sheetName val="Enroll Calcs"/>
      <sheetName val="Cr Hr Comp CHE#"/>
      <sheetName val="Non-credit"/>
      <sheetName val="Plant"/>
      <sheetName val="Plant Detail"/>
      <sheetName val="Prog"/>
      <sheetName val="Equity"/>
      <sheetName val="Tech"/>
      <sheetName val="Other Adj"/>
      <sheetName val="PS"/>
      <sheetName val="SE"/>
      <sheetName val="Aid"/>
      <sheetName val="Quality"/>
      <sheetName val="Research"/>
      <sheetName val="Research Detail"/>
      <sheetName val="Degree Change"/>
      <sheetName val="Time to Degree"/>
      <sheetName val="Low Income Deg NOV 14 revised"/>
      <sheetName val="2-year transfer"/>
      <sheetName val="Exp"/>
      <sheetName val="Fees"/>
      <sheetName val="BIF Tech"/>
      <sheetName val="Other Inc"/>
      <sheetName val="Approp"/>
      <sheetName val="DS"/>
      <sheetName val="IUB"/>
      <sheetName val="IUE"/>
      <sheetName val="IUK"/>
      <sheetName val="IUN"/>
      <sheetName val="IUSB"/>
      <sheetName val="IUSE"/>
      <sheetName val="IUPUI-H"/>
      <sheetName val="IUPUI-GA"/>
      <sheetName val="IU"/>
      <sheetName val="PUWL"/>
      <sheetName val="PUC"/>
      <sheetName val="PUNC"/>
      <sheetName val="IPFW"/>
      <sheetName val="PU"/>
      <sheetName val="ISU"/>
      <sheetName val="USI"/>
      <sheetName val="BSU"/>
      <sheetName val="VU"/>
      <sheetName val="ITCCI"/>
      <sheetName val="SSACI"/>
      <sheetName val="LI Approp"/>
      <sheetName val="R&amp;R"/>
      <sheetName val="ARRA"/>
      <sheetName val="Med"/>
      <sheetName val="Approp per FTE"/>
      <sheetName val="Lines"/>
      <sheetName val="LI Dist"/>
      <sheetName val="LI Qual"/>
      <sheetName val="LI Ded"/>
      <sheetName val="LI Fed"/>
      <sheetName val="LI Trans"/>
      <sheetName val="LI Tot Rev"/>
      <sheetName val="Amendment"/>
      <sheetName val="amend landsc"/>
      <sheetName val="Historical Campus"/>
      <sheetName val="SBA SR"/>
    </sheetNames>
    <sheetDataSet>
      <sheetData sheetId="0">
        <row r="5">
          <cell r="F5" t="str">
            <v>As-Passed</v>
          </cell>
        </row>
        <row r="6">
          <cell r="F6" t="str">
            <v>As-Passed</v>
          </cell>
        </row>
        <row r="7">
          <cell r="E7">
            <v>0</v>
          </cell>
          <cell r="F7">
            <v>0</v>
          </cell>
        </row>
        <row r="8">
          <cell r="E8">
            <v>0</v>
          </cell>
          <cell r="F8">
            <v>0</v>
          </cell>
        </row>
        <row r="9">
          <cell r="E9">
            <v>0</v>
          </cell>
          <cell r="F9">
            <v>0</v>
          </cell>
        </row>
        <row r="10">
          <cell r="E10">
            <v>0</v>
          </cell>
          <cell r="F10">
            <v>0</v>
          </cell>
        </row>
        <row r="11">
          <cell r="E11">
            <v>0</v>
          </cell>
          <cell r="F11">
            <v>0</v>
          </cell>
        </row>
        <row r="12">
          <cell r="E12">
            <v>0</v>
          </cell>
          <cell r="F12">
            <v>0</v>
          </cell>
        </row>
        <row r="13">
          <cell r="E13">
            <v>0</v>
          </cell>
          <cell r="F13">
            <v>0</v>
          </cell>
        </row>
        <row r="14">
          <cell r="E14">
            <v>0</v>
          </cell>
          <cell r="F14">
            <v>0</v>
          </cell>
        </row>
        <row r="15">
          <cell r="E15">
            <v>0</v>
          </cell>
          <cell r="F15">
            <v>0</v>
          </cell>
        </row>
        <row r="16">
          <cell r="E16">
            <v>0</v>
          </cell>
          <cell r="F16">
            <v>0</v>
          </cell>
        </row>
        <row r="17">
          <cell r="E17">
            <v>0</v>
          </cell>
          <cell r="F17">
            <v>0</v>
          </cell>
        </row>
        <row r="18">
          <cell r="E18">
            <v>0</v>
          </cell>
          <cell r="F18">
            <v>0</v>
          </cell>
        </row>
        <row r="19">
          <cell r="E19">
            <v>0</v>
          </cell>
          <cell r="F19">
            <v>0</v>
          </cell>
        </row>
        <row r="20">
          <cell r="E20">
            <v>0</v>
          </cell>
          <cell r="F20">
            <v>0</v>
          </cell>
        </row>
        <row r="21">
          <cell r="E21">
            <v>0</v>
          </cell>
          <cell r="F21">
            <v>0</v>
          </cell>
        </row>
        <row r="22">
          <cell r="E22">
            <v>0</v>
          </cell>
          <cell r="F22">
            <v>0</v>
          </cell>
        </row>
        <row r="24">
          <cell r="F24" t="str">
            <v>2009-11</v>
          </cell>
        </row>
        <row r="25">
          <cell r="D25" t="str">
            <v>2008-09</v>
          </cell>
          <cell r="E25" t="str">
            <v>2009-2010</v>
          </cell>
          <cell r="F25" t="str">
            <v>2010-11</v>
          </cell>
        </row>
        <row r="26">
          <cell r="E26">
            <v>910</v>
          </cell>
          <cell r="F26">
            <v>1011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sheetData sheetId="53" refreshError="1"/>
      <sheetData sheetId="54" refreshError="1"/>
      <sheetData sheetId="55" refreshError="1"/>
      <sheetData sheetId="56" refreshError="1"/>
      <sheetData sheetId="57">
        <row r="911">
          <cell r="F911">
            <v>0</v>
          </cell>
        </row>
      </sheetData>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SDG3)"/>
      <sheetName val="Inc(2)"/>
      <sheetName val="Bac(2)"/>
      <sheetName val="INC(2)(DEBTSVC)(WL)"/>
      <sheetName val="BACK(2A)PRINCRET(WL)"/>
      <sheetName val="Bac(2b)"/>
      <sheetName val="CONTROL"/>
      <sheetName val="WLTOTAL"/>
      <sheetName val="SFEWL"/>
      <sheetName val="SFNWL"/>
      <sheetName val="SFOWL"/>
      <sheetName val="SFPWL"/>
      <sheetName val="SFQWL"/>
      <sheetName val="SFRWL"/>
      <sheetName val="SF.S.WL "/>
      <sheetName val="SF.T.WL"/>
      <sheetName val="SF.U.WL"/>
      <sheetName val="SF.V.WL"/>
      <sheetName val="SF.W.WL"/>
      <sheetName val="SF.TBD.WL"/>
      <sheetName val="Bonding Authority"/>
      <sheetName val="CRWL"/>
      <sheetName val="SF_CRPJT_1"/>
      <sheetName val="SF_CRPJT_2"/>
      <sheetName val="ATHFAC"/>
      <sheetName val="SERIESH"/>
      <sheetName val="SERKWL"/>
      <sheetName val="SERLWL"/>
      <sheetName val="SERQPMU"/>
      <sheetName val="SERRCOREC"/>
      <sheetName val="SERUPMU"/>
      <sheetName val="COPS 1996"/>
      <sheetName val="COPS 1998"/>
      <sheetName val="2001(A&amp;B)Ross-Ade"/>
      <sheetName val="2003A(WL)"/>
      <sheetName val="2005A"/>
      <sheetName val="R&amp;R"/>
      <sheetName val="PRJT_1"/>
      <sheetName val="PRJT_2"/>
      <sheetName val="PRJT_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3">
          <cell r="A23">
            <v>2007</v>
          </cell>
          <cell r="C23">
            <v>0</v>
          </cell>
          <cell r="E23">
            <v>37438</v>
          </cell>
          <cell r="G23">
            <v>0</v>
          </cell>
          <cell r="I23">
            <v>0</v>
          </cell>
          <cell r="K23">
            <v>0</v>
          </cell>
        </row>
        <row r="24">
          <cell r="A24">
            <v>2008</v>
          </cell>
          <cell r="C24">
            <v>58216.991187183099</v>
          </cell>
          <cell r="E24">
            <v>37438</v>
          </cell>
          <cell r="G24">
            <v>137500</v>
          </cell>
          <cell r="I24">
            <v>195716.9911871831</v>
          </cell>
          <cell r="K24">
            <v>2141783.0088128168</v>
          </cell>
        </row>
        <row r="25">
          <cell r="A25">
            <v>2009</v>
          </cell>
          <cell r="C25">
            <v>61855.553136382048</v>
          </cell>
          <cell r="E25">
            <v>37438</v>
          </cell>
          <cell r="G25">
            <v>133861.43805080105</v>
          </cell>
          <cell r="I25">
            <v>195716.9911871831</v>
          </cell>
          <cell r="K25">
            <v>2079927.4556764348</v>
          </cell>
        </row>
        <row r="26">
          <cell r="A26">
            <v>2010</v>
          </cell>
          <cell r="C26">
            <v>65721.525207405924</v>
          </cell>
          <cell r="E26">
            <v>37438</v>
          </cell>
          <cell r="G26">
            <v>129995.46597977717</v>
          </cell>
          <cell r="I26">
            <v>195716.9911871831</v>
          </cell>
          <cell r="K26">
            <v>2014205.9304690289</v>
          </cell>
        </row>
        <row r="27">
          <cell r="A27">
            <v>2011</v>
          </cell>
          <cell r="C27">
            <v>69829.120532868794</v>
          </cell>
          <cell r="E27">
            <v>37438</v>
          </cell>
          <cell r="G27">
            <v>125887.87065431431</v>
          </cell>
          <cell r="I27">
            <v>195716.9911871831</v>
          </cell>
          <cell r="K27">
            <v>1944376.80993616</v>
          </cell>
        </row>
        <row r="28">
          <cell r="A28">
            <v>2012</v>
          </cell>
          <cell r="C28">
            <v>74193.4405661731</v>
          </cell>
          <cell r="E28">
            <v>37438</v>
          </cell>
          <cell r="G28">
            <v>121523.55062101</v>
          </cell>
          <cell r="I28">
            <v>195716.9911871831</v>
          </cell>
          <cell r="K28">
            <v>1870183.3693699869</v>
          </cell>
        </row>
        <row r="29">
          <cell r="A29">
            <v>2013</v>
          </cell>
          <cell r="C29">
            <v>78830.530601558916</v>
          </cell>
          <cell r="E29">
            <v>37438</v>
          </cell>
          <cell r="G29">
            <v>116886.46058562418</v>
          </cell>
          <cell r="I29">
            <v>195716.9911871831</v>
          </cell>
          <cell r="K29">
            <v>1791352.838768428</v>
          </cell>
        </row>
        <row r="30">
          <cell r="A30">
            <v>2014</v>
          </cell>
          <cell r="C30">
            <v>83757.438764156352</v>
          </cell>
          <cell r="E30">
            <v>37438</v>
          </cell>
          <cell r="G30">
            <v>111959.55242302675</v>
          </cell>
          <cell r="I30">
            <v>195716.9911871831</v>
          </cell>
          <cell r="K30">
            <v>1707595.4000042717</v>
          </cell>
        </row>
        <row r="31">
          <cell r="A31">
            <v>2015</v>
          </cell>
          <cell r="C31">
            <v>88992.278686916121</v>
          </cell>
          <cell r="E31">
            <v>37438</v>
          </cell>
          <cell r="G31">
            <v>106724.71250026698</v>
          </cell>
          <cell r="I31">
            <v>195716.9911871831</v>
          </cell>
          <cell r="K31">
            <v>1618603.1213173554</v>
          </cell>
        </row>
        <row r="32">
          <cell r="A32">
            <v>2016</v>
          </cell>
          <cell r="C32">
            <v>94554.296104848385</v>
          </cell>
          <cell r="E32">
            <v>37438</v>
          </cell>
          <cell r="G32">
            <v>101162.69508233471</v>
          </cell>
          <cell r="I32">
            <v>195716.9911871831</v>
          </cell>
          <cell r="K32">
            <v>1524048.825212507</v>
          </cell>
        </row>
        <row r="33">
          <cell r="A33">
            <v>2017</v>
          </cell>
          <cell r="C33">
            <v>100463.93961140141</v>
          </cell>
          <cell r="E33">
            <v>37438</v>
          </cell>
          <cell r="G33">
            <v>95253.05157578169</v>
          </cell>
          <cell r="I33">
            <v>195716.9911871831</v>
          </cell>
          <cell r="K33">
            <v>1423584.8856011056</v>
          </cell>
        </row>
        <row r="34">
          <cell r="A34">
            <v>2018</v>
          </cell>
          <cell r="C34">
            <v>106742.935837114</v>
          </cell>
          <cell r="E34">
            <v>37438</v>
          </cell>
          <cell r="G34">
            <v>88974.055350069102</v>
          </cell>
          <cell r="I34">
            <v>195716.9911871831</v>
          </cell>
          <cell r="K34">
            <v>1316841.9497639916</v>
          </cell>
        </row>
        <row r="35">
          <cell r="A35">
            <v>2019</v>
          </cell>
          <cell r="C35">
            <v>113414.36932693362</v>
          </cell>
          <cell r="E35">
            <v>37438</v>
          </cell>
          <cell r="G35">
            <v>82302.621860249477</v>
          </cell>
          <cell r="I35">
            <v>195716.9911871831</v>
          </cell>
          <cell r="K35">
            <v>1203427.5804370581</v>
          </cell>
        </row>
        <row r="36">
          <cell r="A36">
            <v>2020</v>
          </cell>
          <cell r="C36">
            <v>120502.76740986697</v>
          </cell>
          <cell r="E36">
            <v>37438</v>
          </cell>
          <cell r="G36">
            <v>75214.223777316132</v>
          </cell>
          <cell r="I36">
            <v>195716.9911871831</v>
          </cell>
          <cell r="K36">
            <v>1082924.8130271912</v>
          </cell>
        </row>
        <row r="37">
          <cell r="A37">
            <v>2021</v>
          </cell>
          <cell r="C37">
            <v>128034.19037298365</v>
          </cell>
          <cell r="E37">
            <v>37438</v>
          </cell>
          <cell r="G37">
            <v>67682.800814199451</v>
          </cell>
          <cell r="I37">
            <v>195716.9911871831</v>
          </cell>
          <cell r="K37">
            <v>954890.62265420752</v>
          </cell>
        </row>
        <row r="38">
          <cell r="A38">
            <v>2022</v>
          </cell>
          <cell r="C38">
            <v>136036.32727129513</v>
          </cell>
          <cell r="E38">
            <v>37438</v>
          </cell>
          <cell r="G38">
            <v>59680.66391588797</v>
          </cell>
          <cell r="I38">
            <v>195716.9911871831</v>
          </cell>
          <cell r="K38">
            <v>818854.29538291239</v>
          </cell>
        </row>
        <row r="39">
          <cell r="A39">
            <v>2023</v>
          </cell>
          <cell r="C39">
            <v>144538.59772575108</v>
          </cell>
          <cell r="E39">
            <v>37438</v>
          </cell>
          <cell r="G39">
            <v>51178.393461432024</v>
          </cell>
          <cell r="I39">
            <v>195716.9911871831</v>
          </cell>
          <cell r="K39">
            <v>674315.69765716128</v>
          </cell>
        </row>
        <row r="40">
          <cell r="A40">
            <v>2024</v>
          </cell>
          <cell r="C40">
            <v>153572.26008361051</v>
          </cell>
          <cell r="E40">
            <v>37438</v>
          </cell>
          <cell r="G40">
            <v>42144.73110357258</v>
          </cell>
          <cell r="I40">
            <v>195716.9911871831</v>
          </cell>
          <cell r="K40">
            <v>520743.43757355073</v>
          </cell>
        </row>
        <row r="41">
          <cell r="A41">
            <v>2025</v>
          </cell>
          <cell r="C41">
            <v>163170.52633883618</v>
          </cell>
          <cell r="E41">
            <v>37438</v>
          </cell>
          <cell r="G41">
            <v>32546.464848346921</v>
          </cell>
          <cell r="I41">
            <v>195716.9911871831</v>
          </cell>
          <cell r="K41">
            <v>357572.91123471456</v>
          </cell>
        </row>
        <row r="42">
          <cell r="A42">
            <v>2026</v>
          </cell>
          <cell r="C42">
            <v>173368.68423501344</v>
          </cell>
          <cell r="E42">
            <v>37438</v>
          </cell>
          <cell r="G42">
            <v>22348.30695216966</v>
          </cell>
          <cell r="I42">
            <v>195716.9911871831</v>
          </cell>
          <cell r="K42">
            <v>184204.22699970112</v>
          </cell>
        </row>
        <row r="43">
          <cell r="A43">
            <v>2027</v>
          </cell>
          <cell r="C43">
            <v>184204.22699970179</v>
          </cell>
          <cell r="E43">
            <v>37438</v>
          </cell>
          <cell r="G43">
            <v>11512.76418748132</v>
          </cell>
          <cell r="I43">
            <v>195716.9911871831</v>
          </cell>
          <cell r="K43">
            <v>-6.6938810050487518E-10</v>
          </cell>
        </row>
      </sheetData>
      <sheetData sheetId="21">
        <row r="23">
          <cell r="A23">
            <v>2009</v>
          </cell>
          <cell r="C23">
            <v>1852358.8105012812</v>
          </cell>
          <cell r="E23">
            <v>37438</v>
          </cell>
          <cell r="G23">
            <v>4375000</v>
          </cell>
          <cell r="I23">
            <v>6227358.8105012812</v>
          </cell>
          <cell r="K23">
            <v>68147641.189498723</v>
          </cell>
        </row>
        <row r="24">
          <cell r="A24">
            <v>2010</v>
          </cell>
          <cell r="C24">
            <v>1968131.236157611</v>
          </cell>
          <cell r="E24">
            <v>37438</v>
          </cell>
          <cell r="G24">
            <v>4259227.5743436702</v>
          </cell>
          <cell r="I24">
            <v>6227358.8105012812</v>
          </cell>
          <cell r="K24">
            <v>66179509.953341112</v>
          </cell>
        </row>
        <row r="25">
          <cell r="A25">
            <v>2011</v>
          </cell>
          <cell r="C25">
            <v>2091139.4384174617</v>
          </cell>
          <cell r="E25">
            <v>37438</v>
          </cell>
          <cell r="G25">
            <v>4136219.3720838195</v>
          </cell>
          <cell r="I25">
            <v>6227358.8105012812</v>
          </cell>
          <cell r="K25">
            <v>64088370.514923647</v>
          </cell>
        </row>
        <row r="26">
          <cell r="A26">
            <v>2012</v>
          </cell>
          <cell r="C26">
            <v>2221835.6533185532</v>
          </cell>
          <cell r="E26">
            <v>37438</v>
          </cell>
          <cell r="G26">
            <v>4005523.1571827279</v>
          </cell>
          <cell r="I26">
            <v>6227358.8105012812</v>
          </cell>
          <cell r="K26">
            <v>61866534.861605093</v>
          </cell>
        </row>
        <row r="27">
          <cell r="A27">
            <v>2013</v>
          </cell>
          <cell r="C27">
            <v>2360700.3816509629</v>
          </cell>
          <cell r="E27">
            <v>37438</v>
          </cell>
          <cell r="G27">
            <v>3866658.4288503183</v>
          </cell>
          <cell r="I27">
            <v>6227358.8105012812</v>
          </cell>
          <cell r="K27">
            <v>59505834.479954131</v>
          </cell>
        </row>
        <row r="28">
          <cell r="A28">
            <v>2014</v>
          </cell>
          <cell r="C28">
            <v>2508244.155504148</v>
          </cell>
          <cell r="E28">
            <v>37438</v>
          </cell>
          <cell r="G28">
            <v>3719114.6549971332</v>
          </cell>
          <cell r="I28">
            <v>6227358.8105012812</v>
          </cell>
          <cell r="K28">
            <v>56997590.324449986</v>
          </cell>
        </row>
        <row r="29">
          <cell r="A29">
            <v>2015</v>
          </cell>
          <cell r="C29">
            <v>2665009.415223157</v>
          </cell>
          <cell r="E29">
            <v>37438</v>
          </cell>
          <cell r="G29">
            <v>3562349.3952781241</v>
          </cell>
          <cell r="I29">
            <v>6227358.8105012812</v>
          </cell>
          <cell r="K29">
            <v>54332580.909226827</v>
          </cell>
        </row>
        <row r="30">
          <cell r="A30">
            <v>2016</v>
          </cell>
          <cell r="C30">
            <v>2831572.5036746045</v>
          </cell>
          <cell r="E30">
            <v>37438</v>
          </cell>
          <cell r="G30">
            <v>3395786.3068266767</v>
          </cell>
          <cell r="I30">
            <v>6227358.8105012812</v>
          </cell>
          <cell r="K30">
            <v>51501008.405552223</v>
          </cell>
        </row>
        <row r="31">
          <cell r="A31">
            <v>2017</v>
          </cell>
          <cell r="C31">
            <v>3008545.7851542672</v>
          </cell>
          <cell r="E31">
            <v>37438</v>
          </cell>
          <cell r="G31">
            <v>3218813.025347014</v>
          </cell>
          <cell r="I31">
            <v>6227358.8105012812</v>
          </cell>
          <cell r="K31">
            <v>48492462.620397955</v>
          </cell>
        </row>
        <row r="32">
          <cell r="A32">
            <v>2018</v>
          </cell>
          <cell r="C32">
            <v>3196579.896726409</v>
          </cell>
          <cell r="E32">
            <v>37438</v>
          </cell>
          <cell r="G32">
            <v>3030778.9137748722</v>
          </cell>
          <cell r="I32">
            <v>6227358.8105012812</v>
          </cell>
          <cell r="K32">
            <v>45295882.723671548</v>
          </cell>
        </row>
        <row r="33">
          <cell r="A33">
            <v>2019</v>
          </cell>
          <cell r="C33">
            <v>3396366.1402718094</v>
          </cell>
          <cell r="E33">
            <v>37438</v>
          </cell>
          <cell r="G33">
            <v>2830992.6702294718</v>
          </cell>
          <cell r="I33">
            <v>6227358.8105012812</v>
          </cell>
          <cell r="K33">
            <v>41899516.583399735</v>
          </cell>
        </row>
        <row r="34">
          <cell r="A34">
            <v>2020</v>
          </cell>
          <cell r="C34">
            <v>3608639.0240387977</v>
          </cell>
          <cell r="E34">
            <v>37438</v>
          </cell>
          <cell r="G34">
            <v>2618719.7864624835</v>
          </cell>
          <cell r="I34">
            <v>6227358.8105012812</v>
          </cell>
          <cell r="K34">
            <v>38290877.559360936</v>
          </cell>
        </row>
        <row r="35">
          <cell r="A35">
            <v>2021</v>
          </cell>
          <cell r="C35">
            <v>3834178.9630412227</v>
          </cell>
          <cell r="E35">
            <v>37438</v>
          </cell>
          <cell r="G35">
            <v>2393179.8474600585</v>
          </cell>
          <cell r="I35">
            <v>6227358.8105012812</v>
          </cell>
          <cell r="K35">
            <v>34456698.596319713</v>
          </cell>
        </row>
        <row r="36">
          <cell r="A36">
            <v>2022</v>
          </cell>
          <cell r="C36">
            <v>4073815.1482312991</v>
          </cell>
          <cell r="E36">
            <v>37438</v>
          </cell>
          <cell r="G36">
            <v>2153543.662269982</v>
          </cell>
          <cell r="I36">
            <v>6227358.8105012812</v>
          </cell>
          <cell r="K36">
            <v>30382883.448088415</v>
          </cell>
        </row>
        <row r="37">
          <cell r="A37">
            <v>2023</v>
          </cell>
          <cell r="C37">
            <v>4328428.5949957557</v>
          </cell>
          <cell r="E37">
            <v>37438</v>
          </cell>
          <cell r="G37">
            <v>1898930.2155055259</v>
          </cell>
          <cell r="I37">
            <v>6227358.8105012812</v>
          </cell>
          <cell r="K37">
            <v>26054454.853092659</v>
          </cell>
        </row>
        <row r="38">
          <cell r="A38">
            <v>2024</v>
          </cell>
          <cell r="C38">
            <v>4598955.3821829902</v>
          </cell>
          <cell r="E38">
            <v>37438</v>
          </cell>
          <cell r="G38">
            <v>1628403.4283182912</v>
          </cell>
          <cell r="I38">
            <v>6227358.8105012812</v>
          </cell>
          <cell r="K38">
            <v>21455499.47090967</v>
          </cell>
        </row>
        <row r="39">
          <cell r="A39">
            <v>2025</v>
          </cell>
          <cell r="C39">
            <v>4886390.0935694268</v>
          </cell>
          <cell r="E39">
            <v>37438</v>
          </cell>
          <cell r="G39">
            <v>1340968.7169318544</v>
          </cell>
          <cell r="I39">
            <v>6227358.8105012812</v>
          </cell>
          <cell r="K39">
            <v>16569109.377340242</v>
          </cell>
        </row>
        <row r="40">
          <cell r="A40">
            <v>2026</v>
          </cell>
          <cell r="C40">
            <v>5191789.474417516</v>
          </cell>
          <cell r="E40">
            <v>37438</v>
          </cell>
          <cell r="G40">
            <v>1035569.3360837651</v>
          </cell>
          <cell r="I40">
            <v>6227358.8105012812</v>
          </cell>
          <cell r="K40">
            <v>11377319.902922727</v>
          </cell>
        </row>
        <row r="41">
          <cell r="A41">
            <v>2027</v>
          </cell>
          <cell r="C41">
            <v>5516276.3165686112</v>
          </cell>
          <cell r="E41">
            <v>37438</v>
          </cell>
          <cell r="G41">
            <v>711082.49393267045</v>
          </cell>
          <cell r="I41">
            <v>6227358.8105012812</v>
          </cell>
          <cell r="K41">
            <v>5861043.586354116</v>
          </cell>
        </row>
        <row r="42">
          <cell r="A42">
            <v>2028</v>
          </cell>
          <cell r="C42">
            <v>5861043.5863541486</v>
          </cell>
          <cell r="E42">
            <v>37438</v>
          </cell>
          <cell r="G42">
            <v>366315.22414713225</v>
          </cell>
          <cell r="I42">
            <v>6227358.8105012812</v>
          </cell>
          <cell r="K42">
            <v>-3.2596290111541748E-8</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12">
          <cell r="A12">
            <v>2007</v>
          </cell>
        </row>
      </sheetData>
      <sheetData sheetId="38">
        <row r="12">
          <cell r="A12">
            <v>2008</v>
          </cell>
        </row>
      </sheetData>
      <sheetData sheetId="39">
        <row r="12">
          <cell r="A12">
            <v>2008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arms"/>
      <sheetName val="New Format"/>
      <sheetName val="Capital Recs"/>
      <sheetName val="ALL"/>
      <sheetName val="BigPic Approp"/>
      <sheetName val="BigPic Exp"/>
      <sheetName val="Enroll"/>
      <sheetName val="Enroll Calcs"/>
      <sheetName val="Plant"/>
      <sheetName val="Plant Detail"/>
      <sheetName val="Prog"/>
      <sheetName val="Research"/>
      <sheetName val="Other Adj"/>
      <sheetName val="PS"/>
      <sheetName val="SE"/>
      <sheetName val="Aid"/>
      <sheetName val="Quality"/>
      <sheetName val="Exp"/>
      <sheetName val="Fees"/>
      <sheetName val="Other Inc"/>
      <sheetName val="Approp"/>
      <sheetName val="DS"/>
      <sheetName val="IUB"/>
      <sheetName val="IUE"/>
      <sheetName val="IUK"/>
      <sheetName val="IUN"/>
      <sheetName val="IUSB"/>
      <sheetName val="IUSE"/>
      <sheetName val="IUPUI-H"/>
      <sheetName val="IUPUI-GA"/>
      <sheetName val="IU"/>
      <sheetName val="PUWL"/>
      <sheetName val="PUC"/>
      <sheetName val="PUNC"/>
      <sheetName val="IPFW"/>
      <sheetName val="PU"/>
      <sheetName val="ISU"/>
      <sheetName val="USI"/>
      <sheetName val="BSU"/>
      <sheetName val="VU"/>
      <sheetName val="ITSC"/>
      <sheetName val="Lines"/>
      <sheetName val="LI Approp"/>
      <sheetName val="LI Dist"/>
      <sheetName val="LI Qual"/>
      <sheetName val="LI Ded"/>
      <sheetName val="LI Fed"/>
      <sheetName val="LI Trans"/>
      <sheetName val="LI From Rsrv"/>
      <sheetName val="LI Tot Rev"/>
      <sheetName val="Med"/>
      <sheetName val="R&amp;R"/>
      <sheetName val="SBA SR"/>
      <sheetName val="Approp per FTE"/>
      <sheetName val="LSA Amend"/>
      <sheetName val="notes"/>
      <sheetName val="Payment Delay"/>
      <sheetName val="research calc"/>
      <sheetName val="amend landsc"/>
      <sheetName val="Fee Freeze"/>
      <sheetName val="Historical Campus"/>
      <sheetName val="Tech"/>
    </sheetNames>
    <sheetDataSet>
      <sheetData sheetId="0" refreshError="1"/>
      <sheetData sheetId="1" refreshError="1">
        <row r="5">
          <cell r="F5" t="str">
            <v>Req-2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SDG3)"/>
      <sheetName val="CONTROL"/>
      <sheetName val="FWTOTAL"/>
      <sheetName val="SEREFW"/>
      <sheetName val="SERNFW"/>
      <sheetName val="SEROFW"/>
      <sheetName val="SERPFW"/>
      <sheetName val="SERRFW"/>
      <sheetName val="SERIFW"/>
      <sheetName val="SERDFW"/>
      <sheetName val="SERBFW"/>
      <sheetName val="SERVFW"/>
      <sheetName val="Auth"/>
      <sheetName val="CRIPFW"/>
      <sheetName val="INC(2)(DEBTSVC)(FW)"/>
      <sheetName val="Inc(2)"/>
      <sheetName val="BAC(2)"/>
      <sheetName val="BAC(2b)"/>
      <sheetName val="SFSRB2003B"/>
      <sheetName val="FW_PJT_1"/>
      <sheetName val="IUSERN"/>
      <sheetName val="BACK(2A)PRINCRET(FW)"/>
    </sheetNames>
    <sheetDataSet>
      <sheetData sheetId="0"/>
      <sheetData sheetId="1"/>
      <sheetData sheetId="2"/>
      <sheetData sheetId="3">
        <row r="12">
          <cell r="A12">
            <v>1991</v>
          </cell>
          <cell r="C12">
            <v>0</v>
          </cell>
          <cell r="E12" t="str">
            <v>7/1</v>
          </cell>
          <cell r="G12">
            <v>108579.46</v>
          </cell>
          <cell r="I12">
            <v>108579.46</v>
          </cell>
          <cell r="K12">
            <v>6423904</v>
          </cell>
        </row>
        <row r="13">
          <cell r="A13">
            <v>1992</v>
          </cell>
          <cell r="C13">
            <v>217742</v>
          </cell>
          <cell r="E13" t="str">
            <v>7/1</v>
          </cell>
          <cell r="G13">
            <v>261296</v>
          </cell>
          <cell r="I13">
            <v>479038</v>
          </cell>
          <cell r="K13">
            <v>6206162</v>
          </cell>
        </row>
        <row r="14">
          <cell r="A14">
            <v>1993</v>
          </cell>
          <cell r="C14">
            <v>300000</v>
          </cell>
          <cell r="E14" t="str">
            <v>7/1</v>
          </cell>
          <cell r="G14">
            <v>163231.76</v>
          </cell>
          <cell r="I14">
            <v>463231.76</v>
          </cell>
          <cell r="K14">
            <v>5906162</v>
          </cell>
        </row>
        <row r="15">
          <cell r="A15">
            <v>1994</v>
          </cell>
          <cell r="C15">
            <v>400000</v>
          </cell>
          <cell r="E15" t="str">
            <v>7/1</v>
          </cell>
          <cell r="G15">
            <v>147243</v>
          </cell>
          <cell r="I15">
            <v>547243</v>
          </cell>
          <cell r="K15">
            <v>5506162</v>
          </cell>
        </row>
        <row r="16">
          <cell r="A16">
            <v>1995</v>
          </cell>
          <cell r="C16">
            <v>400000</v>
          </cell>
          <cell r="E16" t="str">
            <v>7/1</v>
          </cell>
          <cell r="G16">
            <v>181839</v>
          </cell>
          <cell r="I16">
            <v>581839</v>
          </cell>
          <cell r="K16">
            <v>5106162</v>
          </cell>
        </row>
        <row r="17">
          <cell r="A17">
            <v>1996</v>
          </cell>
          <cell r="C17">
            <v>400000</v>
          </cell>
          <cell r="E17" t="str">
            <v>7/1</v>
          </cell>
          <cell r="G17">
            <v>188255.28</v>
          </cell>
          <cell r="I17">
            <v>588255.28</v>
          </cell>
          <cell r="K17">
            <v>4706162</v>
          </cell>
        </row>
        <row r="18">
          <cell r="A18">
            <v>1997</v>
          </cell>
          <cell r="C18">
            <v>480000</v>
          </cell>
          <cell r="E18" t="str">
            <v>7/1</v>
          </cell>
          <cell r="G18">
            <v>168618.06</v>
          </cell>
          <cell r="I18">
            <v>648618.06000000006</v>
          </cell>
          <cell r="K18">
            <v>4226162</v>
          </cell>
        </row>
        <row r="19">
          <cell r="A19">
            <v>1998</v>
          </cell>
          <cell r="C19">
            <v>260000</v>
          </cell>
          <cell r="E19" t="str">
            <v>7/1</v>
          </cell>
          <cell r="G19">
            <v>158402.41</v>
          </cell>
          <cell r="I19">
            <v>418402.41000000003</v>
          </cell>
          <cell r="K19">
            <v>3966162</v>
          </cell>
        </row>
        <row r="20">
          <cell r="A20">
            <v>1999</v>
          </cell>
          <cell r="C20">
            <v>300000</v>
          </cell>
          <cell r="E20" t="str">
            <v>7/1</v>
          </cell>
          <cell r="G20">
            <v>138816</v>
          </cell>
          <cell r="I20">
            <v>438816</v>
          </cell>
          <cell r="K20">
            <v>3666162</v>
          </cell>
        </row>
        <row r="21">
          <cell r="A21">
            <v>2000</v>
          </cell>
          <cell r="C21">
            <v>300000</v>
          </cell>
          <cell r="E21" t="str">
            <v>7/1</v>
          </cell>
          <cell r="G21">
            <v>128316</v>
          </cell>
          <cell r="I21">
            <v>428316</v>
          </cell>
          <cell r="K21">
            <v>3366162</v>
          </cell>
        </row>
        <row r="22">
          <cell r="A22">
            <v>2001</v>
          </cell>
          <cell r="C22">
            <v>929292</v>
          </cell>
          <cell r="E22" t="str">
            <v>7/1</v>
          </cell>
          <cell r="G22">
            <v>97129</v>
          </cell>
          <cell r="I22">
            <v>1026421</v>
          </cell>
          <cell r="K22">
            <v>2436870</v>
          </cell>
        </row>
        <row r="23">
          <cell r="A23">
            <v>2002</v>
          </cell>
          <cell r="C23">
            <v>0</v>
          </cell>
          <cell r="E23">
            <v>37438</v>
          </cell>
          <cell r="G23">
            <v>109624.12</v>
          </cell>
          <cell r="I23">
            <v>109624.12</v>
          </cell>
          <cell r="K23">
            <v>2436870</v>
          </cell>
        </row>
        <row r="24">
          <cell r="A24">
            <v>2003</v>
          </cell>
          <cell r="C24">
            <v>0</v>
          </cell>
          <cell r="E24">
            <v>37438</v>
          </cell>
          <cell r="G24">
            <v>84646.22</v>
          </cell>
          <cell r="I24">
            <v>84646.22</v>
          </cell>
          <cell r="K24">
            <v>2436870</v>
          </cell>
        </row>
        <row r="25">
          <cell r="A25">
            <v>2004</v>
          </cell>
          <cell r="C25">
            <v>616220</v>
          </cell>
          <cell r="E25">
            <v>37438</v>
          </cell>
          <cell r="G25">
            <v>84646.22</v>
          </cell>
          <cell r="I25">
            <v>700866.22</v>
          </cell>
          <cell r="K25">
            <v>1820650</v>
          </cell>
        </row>
        <row r="26">
          <cell r="A26">
            <v>2005</v>
          </cell>
          <cell r="C26">
            <v>616220</v>
          </cell>
          <cell r="E26">
            <v>37438</v>
          </cell>
          <cell r="G26">
            <v>66159.62</v>
          </cell>
          <cell r="I26">
            <v>682379.62</v>
          </cell>
          <cell r="K26">
            <v>1204430</v>
          </cell>
        </row>
        <row r="27">
          <cell r="A27">
            <v>2006</v>
          </cell>
          <cell r="C27">
            <v>644230</v>
          </cell>
          <cell r="E27">
            <v>37438</v>
          </cell>
          <cell r="G27">
            <v>45362.2</v>
          </cell>
          <cell r="I27">
            <v>689592.2</v>
          </cell>
          <cell r="K27">
            <v>560200</v>
          </cell>
        </row>
        <row r="28">
          <cell r="A28">
            <v>2007</v>
          </cell>
          <cell r="C28">
            <v>560200</v>
          </cell>
          <cell r="E28">
            <v>37438</v>
          </cell>
          <cell r="G28">
            <v>21847.8</v>
          </cell>
          <cell r="I28">
            <v>582047.80000000005</v>
          </cell>
          <cell r="K28">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3)"/>
      <sheetName val="CONTROL"/>
      <sheetName val="CALTOTAL"/>
      <sheetName val="SERNCAL"/>
      <sheetName val="SEROCAL"/>
      <sheetName val="SERPCAL"/>
      <sheetName val="CRCAL"/>
      <sheetName val="INC(2)"/>
      <sheetName val="BACK(2A)"/>
      <sheetName val="BACK(2b)"/>
      <sheetName val="SFSRB2004A"/>
      <sheetName val="INC(2)(DEBTSVC)(CAL)"/>
      <sheetName val="BACK(2A)PRINCRET(CAL)"/>
      <sheetName val="SERDCAL"/>
      <sheetName val="SERICAL"/>
    </sheetNames>
    <sheetDataSet>
      <sheetData sheetId="0"/>
      <sheetData sheetId="1"/>
      <sheetData sheetId="2"/>
      <sheetData sheetId="3"/>
      <sheetData sheetId="4"/>
      <sheetData sheetId="5"/>
      <sheetData sheetId="6"/>
      <sheetData sheetId="7"/>
      <sheetData sheetId="8"/>
      <sheetData sheetId="9"/>
      <sheetData sheetId="10">
        <row r="12">
          <cell r="A12">
            <v>2004</v>
          </cell>
          <cell r="C12">
            <v>0</v>
          </cell>
          <cell r="E12">
            <v>37438</v>
          </cell>
          <cell r="G12">
            <v>46802.62295081967</v>
          </cell>
          <cell r="I12">
            <v>46802.62295081967</v>
          </cell>
          <cell r="K12">
            <v>28100000</v>
          </cell>
        </row>
        <row r="13">
          <cell r="A13">
            <v>2005</v>
          </cell>
          <cell r="C13">
            <v>0</v>
          </cell>
          <cell r="E13">
            <v>37438</v>
          </cell>
          <cell r="G13">
            <v>525554.93734560988</v>
          </cell>
          <cell r="I13">
            <v>525554.93734560988</v>
          </cell>
          <cell r="K13">
            <v>28100000</v>
          </cell>
        </row>
        <row r="14">
          <cell r="A14">
            <v>2006</v>
          </cell>
          <cell r="C14">
            <v>0</v>
          </cell>
          <cell r="E14">
            <v>37438</v>
          </cell>
          <cell r="G14">
            <v>830928.54794520536</v>
          </cell>
          <cell r="I14">
            <v>830928.54794520536</v>
          </cell>
          <cell r="K14">
            <v>28100000</v>
          </cell>
        </row>
        <row r="15">
          <cell r="A15">
            <v>2007</v>
          </cell>
          <cell r="C15">
            <v>0</v>
          </cell>
          <cell r="E15">
            <v>37438</v>
          </cell>
          <cell r="G15">
            <v>1756250</v>
          </cell>
          <cell r="I15">
            <v>1756250</v>
          </cell>
          <cell r="K15">
            <v>28100000</v>
          </cell>
        </row>
        <row r="16">
          <cell r="A16">
            <v>2008</v>
          </cell>
          <cell r="C16">
            <v>100000</v>
          </cell>
          <cell r="E16">
            <v>37438</v>
          </cell>
          <cell r="G16">
            <v>1756250</v>
          </cell>
          <cell r="I16">
            <v>1856250</v>
          </cell>
          <cell r="K16">
            <v>28000000</v>
          </cell>
        </row>
        <row r="17">
          <cell r="A17">
            <v>2009</v>
          </cell>
          <cell r="C17">
            <v>100000</v>
          </cell>
          <cell r="E17">
            <v>37438</v>
          </cell>
          <cell r="G17">
            <v>1750000</v>
          </cell>
          <cell r="I17">
            <v>1850000</v>
          </cell>
          <cell r="K17">
            <v>27900000</v>
          </cell>
        </row>
        <row r="18">
          <cell r="A18">
            <v>2010</v>
          </cell>
          <cell r="C18">
            <v>100000</v>
          </cell>
          <cell r="E18">
            <v>37438</v>
          </cell>
          <cell r="G18">
            <v>1743750</v>
          </cell>
          <cell r="I18">
            <v>1843750</v>
          </cell>
          <cell r="K18">
            <v>27800000</v>
          </cell>
        </row>
        <row r="19">
          <cell r="A19">
            <v>2011</v>
          </cell>
          <cell r="C19">
            <v>200000</v>
          </cell>
          <cell r="E19">
            <v>37438</v>
          </cell>
          <cell r="G19">
            <v>1737500</v>
          </cell>
          <cell r="I19">
            <v>1937500</v>
          </cell>
          <cell r="K19">
            <v>27600000</v>
          </cell>
        </row>
        <row r="20">
          <cell r="A20">
            <v>2012</v>
          </cell>
          <cell r="C20">
            <v>500000</v>
          </cell>
          <cell r="E20">
            <v>37438</v>
          </cell>
          <cell r="G20">
            <v>1725000</v>
          </cell>
          <cell r="I20">
            <v>2225000</v>
          </cell>
          <cell r="K20">
            <v>27100000</v>
          </cell>
        </row>
        <row r="21">
          <cell r="A21">
            <v>2013</v>
          </cell>
          <cell r="C21">
            <v>500000</v>
          </cell>
          <cell r="E21">
            <v>37438</v>
          </cell>
          <cell r="G21">
            <v>1693750</v>
          </cell>
          <cell r="I21">
            <v>2193750</v>
          </cell>
          <cell r="K21">
            <v>26600000</v>
          </cell>
        </row>
        <row r="22">
          <cell r="A22">
            <v>2014</v>
          </cell>
          <cell r="C22">
            <v>500000</v>
          </cell>
          <cell r="E22">
            <v>37438</v>
          </cell>
          <cell r="G22">
            <v>1662500</v>
          </cell>
          <cell r="I22">
            <v>2162500</v>
          </cell>
          <cell r="K22">
            <v>26100000</v>
          </cell>
        </row>
        <row r="23">
          <cell r="A23">
            <v>2015</v>
          </cell>
          <cell r="C23">
            <v>500000</v>
          </cell>
          <cell r="E23">
            <v>37438</v>
          </cell>
          <cell r="G23">
            <v>1631250</v>
          </cell>
          <cell r="I23">
            <v>2131250</v>
          </cell>
          <cell r="K23">
            <v>25600000</v>
          </cell>
        </row>
        <row r="24">
          <cell r="A24">
            <v>2016</v>
          </cell>
          <cell r="C24">
            <v>500000</v>
          </cell>
          <cell r="E24">
            <v>37438</v>
          </cell>
          <cell r="G24">
            <v>1600000</v>
          </cell>
          <cell r="I24">
            <v>2100000</v>
          </cell>
          <cell r="K24">
            <v>25100000</v>
          </cell>
        </row>
        <row r="25">
          <cell r="A25">
            <v>2017</v>
          </cell>
          <cell r="C25">
            <v>600000</v>
          </cell>
          <cell r="E25">
            <v>37438</v>
          </cell>
          <cell r="G25">
            <v>1568750</v>
          </cell>
          <cell r="I25">
            <v>2168750</v>
          </cell>
          <cell r="K25">
            <v>24500000</v>
          </cell>
        </row>
        <row r="26">
          <cell r="A26">
            <v>2018</v>
          </cell>
          <cell r="C26">
            <v>800000</v>
          </cell>
          <cell r="E26">
            <v>37438</v>
          </cell>
          <cell r="G26">
            <v>1531250</v>
          </cell>
          <cell r="I26">
            <v>2331250</v>
          </cell>
          <cell r="K26">
            <v>23700000</v>
          </cell>
        </row>
        <row r="27">
          <cell r="A27">
            <v>2019</v>
          </cell>
          <cell r="C27">
            <v>800000</v>
          </cell>
          <cell r="E27">
            <v>37438</v>
          </cell>
          <cell r="G27">
            <v>1481250</v>
          </cell>
          <cell r="I27">
            <v>2281250</v>
          </cell>
          <cell r="K27">
            <v>22900000</v>
          </cell>
        </row>
        <row r="28">
          <cell r="A28">
            <v>2020</v>
          </cell>
          <cell r="C28">
            <v>900000</v>
          </cell>
          <cell r="E28">
            <v>37438</v>
          </cell>
          <cell r="G28">
            <v>1431250</v>
          </cell>
          <cell r="I28">
            <v>2331250</v>
          </cell>
          <cell r="K28">
            <v>22000000</v>
          </cell>
        </row>
        <row r="29">
          <cell r="A29">
            <v>2021</v>
          </cell>
          <cell r="C29">
            <v>900000</v>
          </cell>
          <cell r="E29">
            <v>37438</v>
          </cell>
          <cell r="G29">
            <v>1375000</v>
          </cell>
          <cell r="I29">
            <v>2275000</v>
          </cell>
          <cell r="K29">
            <v>21100000</v>
          </cell>
        </row>
        <row r="30">
          <cell r="A30">
            <v>2022</v>
          </cell>
          <cell r="C30">
            <v>1000000</v>
          </cell>
          <cell r="E30">
            <v>37438</v>
          </cell>
          <cell r="G30">
            <v>1318750</v>
          </cell>
          <cell r="I30">
            <v>2318750</v>
          </cell>
          <cell r="K30">
            <v>20100000</v>
          </cell>
        </row>
        <row r="31">
          <cell r="A31">
            <v>2023</v>
          </cell>
          <cell r="C31">
            <v>1000000</v>
          </cell>
          <cell r="E31">
            <v>37438</v>
          </cell>
          <cell r="G31">
            <v>1256250</v>
          </cell>
          <cell r="I31">
            <v>2256250</v>
          </cell>
          <cell r="K31">
            <v>19100000</v>
          </cell>
        </row>
        <row r="32">
          <cell r="A32">
            <v>2024</v>
          </cell>
          <cell r="C32">
            <v>1000000</v>
          </cell>
          <cell r="E32">
            <v>37438</v>
          </cell>
          <cell r="G32">
            <v>1193750</v>
          </cell>
          <cell r="I32">
            <v>2193750</v>
          </cell>
          <cell r="K32">
            <v>18100000</v>
          </cell>
        </row>
        <row r="33">
          <cell r="A33">
            <v>2025</v>
          </cell>
          <cell r="C33">
            <v>1000000</v>
          </cell>
          <cell r="E33">
            <v>37438</v>
          </cell>
          <cell r="G33">
            <v>1131250</v>
          </cell>
          <cell r="I33">
            <v>2131250</v>
          </cell>
          <cell r="K33">
            <v>17100000</v>
          </cell>
        </row>
        <row r="34">
          <cell r="A34">
            <v>2026</v>
          </cell>
          <cell r="C34">
            <v>1000000</v>
          </cell>
          <cell r="E34">
            <v>37438</v>
          </cell>
          <cell r="G34">
            <v>1068750</v>
          </cell>
          <cell r="I34">
            <v>2068750</v>
          </cell>
          <cell r="K34">
            <v>16100000</v>
          </cell>
        </row>
        <row r="35">
          <cell r="A35">
            <v>2027</v>
          </cell>
          <cell r="C35">
            <v>1000000</v>
          </cell>
          <cell r="E35">
            <v>37438</v>
          </cell>
          <cell r="G35">
            <v>1006250</v>
          </cell>
          <cell r="I35">
            <v>2006250</v>
          </cell>
          <cell r="K35">
            <v>15100000</v>
          </cell>
        </row>
        <row r="36">
          <cell r="A36">
            <v>2028</v>
          </cell>
          <cell r="C36">
            <v>1000000</v>
          </cell>
          <cell r="E36">
            <v>37438</v>
          </cell>
          <cell r="G36">
            <v>943750</v>
          </cell>
          <cell r="I36">
            <v>1943750</v>
          </cell>
          <cell r="K36">
            <v>14100000</v>
          </cell>
        </row>
        <row r="37">
          <cell r="A37">
            <v>2029</v>
          </cell>
          <cell r="C37">
            <v>2000000</v>
          </cell>
          <cell r="E37">
            <v>37438</v>
          </cell>
          <cell r="G37">
            <v>881250</v>
          </cell>
          <cell r="I37">
            <v>2881250</v>
          </cell>
          <cell r="K37">
            <v>12100000</v>
          </cell>
        </row>
        <row r="38">
          <cell r="A38">
            <v>2030</v>
          </cell>
          <cell r="C38">
            <v>2000000</v>
          </cell>
          <cell r="E38">
            <v>37438</v>
          </cell>
          <cell r="G38">
            <v>756250</v>
          </cell>
          <cell r="I38">
            <v>2756250</v>
          </cell>
          <cell r="K38">
            <v>10100000</v>
          </cell>
        </row>
        <row r="39">
          <cell r="A39">
            <v>2031</v>
          </cell>
          <cell r="C39">
            <v>3000000</v>
          </cell>
          <cell r="E39">
            <v>37438</v>
          </cell>
          <cell r="G39">
            <v>631250</v>
          </cell>
          <cell r="I39">
            <v>3631250</v>
          </cell>
          <cell r="K39">
            <v>7100000</v>
          </cell>
        </row>
        <row r="40">
          <cell r="A40">
            <v>2032</v>
          </cell>
          <cell r="C40">
            <v>3000000</v>
          </cell>
          <cell r="E40">
            <v>37438</v>
          </cell>
          <cell r="G40">
            <v>443750</v>
          </cell>
          <cell r="I40">
            <v>3443750</v>
          </cell>
          <cell r="K40">
            <v>4100000</v>
          </cell>
        </row>
        <row r="41">
          <cell r="A41">
            <v>2033</v>
          </cell>
          <cell r="C41">
            <v>4100000</v>
          </cell>
          <cell r="E41">
            <v>37438</v>
          </cell>
          <cell r="G41">
            <v>256250</v>
          </cell>
          <cell r="I41">
            <v>4356250</v>
          </cell>
          <cell r="K41">
            <v>0</v>
          </cell>
        </row>
      </sheetData>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HIGHER ED RECOMMENDATION"/>
      <sheetName val="OVERALL SUMMARY"/>
      <sheetName val="Benefactor Summary"/>
      <sheetName val="Institution Summary - Version A"/>
      <sheetName val="Comparisons"/>
      <sheetName val="Base Reductions"/>
      <sheetName val="SSCH Regular Funding"/>
      <sheetName val="SSCH Dual Credit Funding"/>
      <sheetName val="SSCH Early College Funding"/>
      <sheetName val="Change in Degree Funding"/>
      <sheetName val="On-Time Degree Funding"/>
      <sheetName val="Low Income Degree Funding"/>
      <sheetName val="Reserach Inct Funding"/>
      <sheetName val="Line Item Funding"/>
      <sheetName val="Medical Education Funding"/>
      <sheetName val="Capital Projects and FR"/>
      <sheetName val="Debt Service 2000-2032"/>
      <sheetName val="Total Ammort Chart"/>
      <sheetName val="Repair Rehab Funding"/>
      <sheetName val="HE OPS WALK"/>
      <sheetName val="FTE Data from Submissions"/>
      <sheetName val="Budget per FTE (2)"/>
      <sheetName val="Op Approp per FTE (2)"/>
      <sheetName val="Total Approp per FTE 2"/>
      <sheetName val="Total Operating Revenue Est"/>
      <sheetName val="REV PERCENT 5% PFF"/>
      <sheetName val="Summary of Grad Rates "/>
    </sheetNames>
    <sheetDataSet>
      <sheetData sheetId="0">
        <row r="33">
          <cell r="C33">
            <v>0.85</v>
          </cell>
        </row>
        <row r="34">
          <cell r="C34">
            <v>0.85</v>
          </cell>
        </row>
      </sheetData>
      <sheetData sheetId="1" refreshError="1"/>
      <sheetData sheetId="2" refreshError="1"/>
      <sheetData sheetId="3">
        <row r="18">
          <cell r="F18">
            <v>0</v>
          </cell>
        </row>
        <row r="25">
          <cell r="F25">
            <v>0</v>
          </cell>
        </row>
      </sheetData>
      <sheetData sheetId="4" refreshError="1"/>
      <sheetData sheetId="5">
        <row r="7">
          <cell r="F7">
            <v>11569197.097344404</v>
          </cell>
        </row>
      </sheetData>
      <sheetData sheetId="6">
        <row r="60">
          <cell r="C60">
            <v>0</v>
          </cell>
        </row>
      </sheetData>
      <sheetData sheetId="7">
        <row r="47">
          <cell r="C47">
            <v>52875</v>
          </cell>
        </row>
      </sheetData>
      <sheetData sheetId="8">
        <row r="47">
          <cell r="C47">
            <v>508725</v>
          </cell>
        </row>
      </sheetData>
      <sheetData sheetId="9">
        <row r="26">
          <cell r="F26">
            <v>-1087500</v>
          </cell>
        </row>
      </sheetData>
      <sheetData sheetId="10">
        <row r="21">
          <cell r="G21">
            <v>-487946.15565483249</v>
          </cell>
        </row>
      </sheetData>
      <sheetData sheetId="11">
        <row r="31">
          <cell r="E31">
            <v>-50000</v>
          </cell>
        </row>
      </sheetData>
      <sheetData sheetId="12">
        <row r="44">
          <cell r="L44">
            <v>1842470</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6">
          <cell r="N6">
            <v>0.46477428180574554</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HIGHER ED RECOMMENDATION"/>
      <sheetName val="OVERALL SUMMARY"/>
      <sheetName val="Benefactor Summary"/>
      <sheetName val="Institution Summary - Version A"/>
      <sheetName val="Base Reductions"/>
      <sheetName val="SSCH Regular Funding"/>
      <sheetName val="SSCH Dual Credit Funding"/>
      <sheetName val="SSCH Early College Funding"/>
      <sheetName val="Change in Degree Funding"/>
      <sheetName val="On-Time Degree Funding"/>
      <sheetName val="Low Income Degree Funding"/>
      <sheetName val="Reserach Inct Funding"/>
      <sheetName val="Line Item Funding"/>
      <sheetName val="Medical Education Funding"/>
      <sheetName val="Capital Projects and FR"/>
      <sheetName val="Debt Service 2000-2032"/>
      <sheetName val="Total Ammort Chart"/>
      <sheetName val="Repair Rehab Funding"/>
      <sheetName val="HE OPS WALK"/>
      <sheetName val="FTE Data from Submissions"/>
      <sheetName val="Budget per FTE"/>
      <sheetName val="Op Approp per FTE"/>
      <sheetName val="Total Approp per FTE"/>
      <sheetName val="Budget per FTE (2)"/>
      <sheetName val="Op Approp per FTE (2)"/>
      <sheetName val="Total Operating Revenue Est"/>
      <sheetName val="REV PERCENT 5% PFF"/>
      <sheetName val="Summary of Grad Rates "/>
    </sheetNames>
    <sheetDataSet>
      <sheetData sheetId="0" refreshError="1"/>
      <sheetData sheetId="1">
        <row r="125">
          <cell r="J125">
            <v>1681146978.75</v>
          </cell>
          <cell r="K125">
            <v>1681146978.75</v>
          </cell>
        </row>
        <row r="126">
          <cell r="K126">
            <v>1178217024</v>
          </cell>
        </row>
        <row r="127">
          <cell r="K127">
            <v>154802228.2926856</v>
          </cell>
        </row>
        <row r="128">
          <cell r="K128">
            <v>29273745.507314414</v>
          </cell>
        </row>
        <row r="129">
          <cell r="K129">
            <v>318853980.94999999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20.bin"/><Relationship Id="rId4" Type="http://schemas.openxmlformats.org/officeDocument/2006/relationships/comments" Target="../comments4.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7.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5"/>
  <sheetViews>
    <sheetView zoomScale="90" zoomScaleNormal="90" workbookViewId="0">
      <pane xSplit="1" ySplit="5" topLeftCell="B6" activePane="bottomRight" state="frozen"/>
      <selection pane="topRight" activeCell="B1" sqref="B1"/>
      <selection pane="bottomLeft" activeCell="A6" sqref="A6"/>
      <selection pane="bottomRight" activeCell="A3" sqref="A3"/>
    </sheetView>
  </sheetViews>
  <sheetFormatPr defaultRowHeight="13.2"/>
  <cols>
    <col min="1" max="1" width="37.88671875" customWidth="1"/>
    <col min="2" max="2" width="16.109375" customWidth="1"/>
    <col min="3" max="3" width="12.88671875" bestFit="1" customWidth="1"/>
    <col min="4" max="4" width="17" customWidth="1"/>
    <col min="5" max="5" width="16.6640625" customWidth="1"/>
    <col min="6" max="6" width="16.33203125" customWidth="1"/>
    <col min="7" max="7" width="2" customWidth="1"/>
    <col min="8" max="8" width="17.88671875" customWidth="1"/>
    <col min="9" max="9" width="16.88671875" customWidth="1"/>
    <col min="10" max="10" width="15.44140625" customWidth="1"/>
    <col min="11" max="11" width="14.109375" customWidth="1"/>
    <col min="13" max="14" width="9.109375" customWidth="1"/>
  </cols>
  <sheetData>
    <row r="1" spans="1:14" ht="17.399999999999999">
      <c r="A1" s="4214" t="s">
        <v>809</v>
      </c>
    </row>
    <row r="2" spans="1:14" ht="15">
      <c r="A2" s="4215" t="s">
        <v>970</v>
      </c>
      <c r="B2" s="4361"/>
    </row>
    <row r="3" spans="1:14">
      <c r="A3" s="4216">
        <f ca="1">TODAY()</f>
        <v>41472</v>
      </c>
    </row>
    <row r="4" spans="1:14" ht="13.8" thickBot="1">
      <c r="E4" s="4219"/>
    </row>
    <row r="5" spans="1:14" s="4218" customFormat="1" ht="40.200000000000003" thickBot="1">
      <c r="A5" s="4233"/>
      <c r="B5" s="4234" t="s">
        <v>810</v>
      </c>
      <c r="C5" s="4234" t="s">
        <v>811</v>
      </c>
      <c r="D5" s="4234" t="s">
        <v>827</v>
      </c>
      <c r="E5" s="4234" t="s">
        <v>812</v>
      </c>
      <c r="F5" s="4234" t="s">
        <v>813</v>
      </c>
      <c r="G5" s="4246"/>
      <c r="H5" s="4234" t="s">
        <v>823</v>
      </c>
      <c r="I5" s="4234" t="s">
        <v>824</v>
      </c>
      <c r="J5" s="4234" t="s">
        <v>825</v>
      </c>
      <c r="K5" s="4235" t="s">
        <v>826</v>
      </c>
    </row>
    <row r="6" spans="1:14">
      <c r="A6" s="4220" t="s">
        <v>816</v>
      </c>
      <c r="B6" s="4227">
        <f>'OVERALL HE BUDGET SUMMARY'!E146+'OVERALL HE BUDGET SUMMARY'!E147</f>
        <v>1215309286.3</v>
      </c>
      <c r="C6" s="4227">
        <f>'OVERALL HE BUDGET SUMMARY'!F146+'OVERALL HE BUDGET SUMMARY'!F147</f>
        <v>0</v>
      </c>
      <c r="D6" s="4227">
        <f>'OVERALL HE BUDGET SUMMARY'!G146+'OVERALL HE BUDGET SUMMARY'!G147</f>
        <v>1215309286.3</v>
      </c>
      <c r="E6" s="4227">
        <f>'OVERALL HE BUDGET SUMMARY'!I146+'OVERALL HE BUDGET SUMMARY'!I147</f>
        <v>1261170332.8835557</v>
      </c>
      <c r="F6" s="4227">
        <f>'OVERALL HE BUDGET SUMMARY'!K146+'OVERALL HE BUDGET SUMMARY'!K147</f>
        <v>1261170332.8835557</v>
      </c>
      <c r="G6" s="4222"/>
      <c r="H6" s="4227">
        <f>E6-D6</f>
        <v>45861046.583555698</v>
      </c>
      <c r="I6" s="4227">
        <f>F6-D6</f>
        <v>45861046.583555698</v>
      </c>
      <c r="J6" s="4236">
        <f>H6/D6</f>
        <v>3.7736111375548949E-2</v>
      </c>
      <c r="K6" s="4237">
        <f>I6/D6</f>
        <v>3.7736111375548949E-2</v>
      </c>
      <c r="L6" s="4372"/>
      <c r="M6" s="4361"/>
      <c r="N6" s="4372"/>
    </row>
    <row r="7" spans="1:14" ht="8.1" customHeight="1">
      <c r="A7" s="4221"/>
      <c r="B7" s="4228"/>
      <c r="C7" s="4228"/>
      <c r="D7" s="4228"/>
      <c r="E7" s="4228"/>
      <c r="F7" s="4228"/>
      <c r="G7" s="4222"/>
      <c r="H7" s="4228"/>
      <c r="I7" s="4228"/>
      <c r="J7" s="4232"/>
      <c r="K7" s="4223"/>
    </row>
    <row r="8" spans="1:14">
      <c r="A8" s="4220" t="s">
        <v>817</v>
      </c>
      <c r="B8" s="4227">
        <f>'OVERALL HE BUDGET SUMMARY'!E148</f>
        <v>151873910</v>
      </c>
      <c r="C8" s="4227">
        <f>'OVERALL HE BUDGET SUMMARY'!F148</f>
        <v>-3028602.133369999</v>
      </c>
      <c r="D8" s="4227">
        <f>'OVERALL HE BUDGET SUMMARY'!G148</f>
        <v>148845307.86663002</v>
      </c>
      <c r="E8" s="4227">
        <f>'OVERALL HE BUDGET SUMMARY'!I148</f>
        <v>157007968.59211284</v>
      </c>
      <c r="F8" s="4227">
        <f>'OVERALL HE BUDGET SUMMARY'!K148</f>
        <v>154822109.59211284</v>
      </c>
      <c r="G8" s="4222"/>
      <c r="H8" s="4227">
        <f>E8-D8</f>
        <v>8162660.7254828215</v>
      </c>
      <c r="I8" s="4227">
        <f>F8-D8</f>
        <v>5976801.7254828215</v>
      </c>
      <c r="J8" s="4236">
        <f>H8/D8</f>
        <v>5.4839892788537327E-2</v>
      </c>
      <c r="K8" s="4237">
        <f>I8/D8</f>
        <v>4.0154451699869642E-2</v>
      </c>
      <c r="L8" s="4372"/>
      <c r="M8" s="4361"/>
    </row>
    <row r="9" spans="1:14" s="859" customFormat="1" ht="8.1" customHeight="1">
      <c r="A9" s="4221"/>
      <c r="B9" s="4228"/>
      <c r="C9" s="4228"/>
      <c r="D9" s="4228"/>
      <c r="E9" s="4228"/>
      <c r="F9" s="4228"/>
      <c r="G9" s="4222"/>
      <c r="H9" s="4228"/>
      <c r="I9" s="4228"/>
      <c r="J9" s="4238"/>
      <c r="K9" s="4239"/>
    </row>
    <row r="10" spans="1:14" s="859" customFormat="1">
      <c r="A10" s="4220" t="s">
        <v>938</v>
      </c>
      <c r="B10" s="4227">
        <f>'OVERALL HE BUDGET SUMMARY'!E149</f>
        <v>0</v>
      </c>
      <c r="C10" s="4227">
        <f>'OVERALL HE BUDGET SUMMARY'!F149</f>
        <v>0</v>
      </c>
      <c r="D10" s="4227">
        <f>'OVERALL HE BUDGET SUMMARY'!G149</f>
        <v>0</v>
      </c>
      <c r="E10" s="4227">
        <f>'OVERALL HE BUDGET SUMMARY'!H149</f>
        <v>107675000</v>
      </c>
      <c r="F10" s="4227">
        <f>'OVERALL HE BUDGET SUMMARY'!I149</f>
        <v>107675000</v>
      </c>
      <c r="G10" s="4222"/>
      <c r="H10" s="4227">
        <f>E10-D10</f>
        <v>107675000</v>
      </c>
      <c r="I10" s="4227">
        <f>F10-D10</f>
        <v>107675000</v>
      </c>
      <c r="J10" s="4236" t="e">
        <f>H10/D10</f>
        <v>#DIV/0!</v>
      </c>
      <c r="K10" s="4237" t="e">
        <f>I10/D10</f>
        <v>#DIV/0!</v>
      </c>
      <c r="L10" s="4372"/>
      <c r="M10" s="4361"/>
    </row>
    <row r="11" spans="1:14" ht="8.1" customHeight="1">
      <c r="A11" s="4221"/>
      <c r="B11" s="4228"/>
      <c r="C11" s="4228"/>
      <c r="D11" s="4228"/>
      <c r="E11" s="4228"/>
      <c r="F11" s="4228"/>
      <c r="G11" s="4222"/>
      <c r="H11" s="4228"/>
      <c r="I11" s="4228"/>
      <c r="J11" s="4238"/>
      <c r="K11" s="4239"/>
    </row>
    <row r="12" spans="1:14">
      <c r="A12" s="4220" t="s">
        <v>818</v>
      </c>
      <c r="B12" s="4227">
        <f>'OVERALL HE BUDGET SUMMARY'!E150</f>
        <v>0</v>
      </c>
      <c r="C12" s="4227">
        <f>'OVERALL HE BUDGET SUMMARY'!F150</f>
        <v>0</v>
      </c>
      <c r="D12" s="4227">
        <f>'OVERALL HE BUDGET SUMMARY'!G150</f>
        <v>0</v>
      </c>
      <c r="E12" s="4227">
        <f>'OVERALL HE BUDGET SUMMARY'!I150</f>
        <v>28492947.00679097</v>
      </c>
      <c r="F12" s="4227">
        <f>'OVERALL HE BUDGET SUMMARY'!K150</f>
        <v>28492947.00679097</v>
      </c>
      <c r="G12" s="4222"/>
      <c r="H12" s="4227">
        <f>E12-D12</f>
        <v>28492947.00679097</v>
      </c>
      <c r="I12" s="4227">
        <f>F12-D12</f>
        <v>28492947.00679097</v>
      </c>
      <c r="J12" s="4236" t="e">
        <f>H12/D12</f>
        <v>#DIV/0!</v>
      </c>
      <c r="K12" s="4237" t="e">
        <f>I12/D12</f>
        <v>#DIV/0!</v>
      </c>
      <c r="L12" s="4372"/>
      <c r="M12" s="4361"/>
    </row>
    <row r="13" spans="1:14" ht="8.1" customHeight="1">
      <c r="A13" s="4221"/>
      <c r="B13" s="4228"/>
      <c r="C13" s="4228"/>
      <c r="D13" s="4228"/>
      <c r="E13" s="4228"/>
      <c r="F13" s="4228"/>
      <c r="G13" s="4222"/>
      <c r="H13" s="4228"/>
      <c r="I13" s="4228"/>
      <c r="J13" s="4238"/>
      <c r="K13" s="4239"/>
    </row>
    <row r="14" spans="1:14">
      <c r="A14" s="4220" t="s">
        <v>819</v>
      </c>
      <c r="B14" s="4227">
        <f>'OVERALL HE BUDGET SUMMARY'!E48+'OVERALL HE BUDGET SUMMARY'!E75+'OVERALL HE BUDGET SUMMARY'!E87+'OVERALL HE BUDGET SUMMARY'!E99+'OVERALL HE BUDGET SUMMARY'!E110+'OVERALL HE BUDGET SUMMARY'!E122+'OVERALL HE BUDGET SUMMARY'!E133</f>
        <v>44360107.749999993</v>
      </c>
      <c r="C14" s="4227">
        <f>'OVERALL HE BUDGET SUMMARY'!F48+'OVERALL HE BUDGET SUMMARY'!F75+'OVERALL HE BUDGET SUMMARY'!F87+'OVERALL HE BUDGET SUMMARY'!F99+'OVERALL HE BUDGET SUMMARY'!F110+'OVERALL HE BUDGET SUMMARY'!F122+'OVERALL HE BUDGET SUMMARY'!F133</f>
        <v>0</v>
      </c>
      <c r="D14" s="4227">
        <f>'OVERALL HE BUDGET SUMMARY'!G48+'OVERALL HE BUDGET SUMMARY'!G75+'OVERALL HE BUDGET SUMMARY'!G87+'OVERALL HE BUDGET SUMMARY'!G99+'OVERALL HE BUDGET SUMMARY'!G110+'OVERALL HE BUDGET SUMMARY'!G122+'OVERALL HE BUDGET SUMMARY'!G133</f>
        <v>44360107.749999993</v>
      </c>
      <c r="E14" s="4227">
        <f>'OVERALL HE BUDGET SUMMARY'!I48+'OVERALL HE BUDGET SUMMARY'!I75+'OVERALL HE BUDGET SUMMARY'!I87+'OVERALL HE BUDGET SUMMARY'!I99+'OVERALL HE BUDGET SUMMARY'!I110+'OVERALL HE BUDGET SUMMARY'!I122+'OVERALL HE BUDGET SUMMARY'!I133</f>
        <v>66917677.947000004</v>
      </c>
      <c r="F14" s="4227">
        <f>'OVERALL HE BUDGET SUMMARY'!K48+'OVERALL HE BUDGET SUMMARY'!K75+'OVERALL HE BUDGET SUMMARY'!K87+'OVERALL HE BUDGET SUMMARY'!K99+'OVERALL HE BUDGET SUMMARY'!K110+'OVERALL HE BUDGET SUMMARY'!K122+'OVERALL HE BUDGET SUMMARY'!K133</f>
        <v>66038417.656999998</v>
      </c>
      <c r="G14" s="4222"/>
      <c r="H14" s="4227">
        <f>E14-D14</f>
        <v>22557570.197000012</v>
      </c>
      <c r="I14" s="4227">
        <f>F14-D14</f>
        <v>21678309.907000005</v>
      </c>
      <c r="J14" s="4236">
        <f>H14/D14</f>
        <v>0.50851026611854921</v>
      </c>
      <c r="K14" s="4237">
        <f>I14/D14</f>
        <v>0.48868929780721754</v>
      </c>
      <c r="L14" s="4372"/>
      <c r="M14" s="4361"/>
      <c r="N14" s="4371"/>
    </row>
    <row r="15" spans="1:14" ht="8.1" customHeight="1">
      <c r="A15" s="4221"/>
      <c r="B15" s="4228"/>
      <c r="C15" s="4228"/>
      <c r="D15" s="4228"/>
      <c r="E15" s="4228"/>
      <c r="F15" s="4228"/>
      <c r="G15" s="4222"/>
      <c r="H15" s="4228"/>
      <c r="I15" s="4228"/>
      <c r="J15" s="4238"/>
      <c r="K15" s="4239"/>
    </row>
    <row r="16" spans="1:14">
      <c r="A16" s="4220" t="s">
        <v>820</v>
      </c>
      <c r="B16" s="4227">
        <f>'OVERALL HE BUDGET SUMMARY'!E138</f>
        <v>280920073</v>
      </c>
      <c r="C16" s="4227">
        <f>'OVERALL HE BUDGET SUMMARY'!F138</f>
        <v>-368621</v>
      </c>
      <c r="D16" s="4227">
        <f>'OVERALL HE BUDGET SUMMARY'!G138</f>
        <v>280551452</v>
      </c>
      <c r="E16" s="4227">
        <f>'OVERALL HE BUDGET SUMMARY'!I138</f>
        <v>324982470.9063555</v>
      </c>
      <c r="F16" s="4227">
        <f>'OVERALL HE BUDGET SUMMARY'!K138</f>
        <v>311211259.9063555</v>
      </c>
      <c r="G16" s="4222"/>
      <c r="H16" s="4227">
        <f>E16-D16</f>
        <v>44431018.9063555</v>
      </c>
      <c r="I16" s="4227">
        <f>F16-D16</f>
        <v>30659807.9063555</v>
      </c>
      <c r="J16" s="4236">
        <f>H16/D16</f>
        <v>0.15837030458981727</v>
      </c>
      <c r="K16" s="4237">
        <f>I16/D16</f>
        <v>0.10928408207402719</v>
      </c>
      <c r="L16" s="4372"/>
      <c r="M16" s="4361"/>
      <c r="N16" s="4372"/>
    </row>
    <row r="17" spans="1:14" ht="8.1" customHeight="1">
      <c r="A17" s="4221"/>
      <c r="B17" s="4228"/>
      <c r="C17" s="4228"/>
      <c r="D17" s="4228"/>
      <c r="E17" s="4228"/>
      <c r="F17" s="4228"/>
      <c r="G17" s="4222"/>
      <c r="H17" s="4228"/>
      <c r="I17" s="4228"/>
      <c r="J17" s="4238"/>
      <c r="K17" s="4239"/>
    </row>
    <row r="18" spans="1:14" ht="13.8" thickBot="1">
      <c r="A18" s="4224" t="s">
        <v>821</v>
      </c>
      <c r="B18" s="4229">
        <f>'OVERALL HE BUDGET SUMMARY'!E139+'OVERALL HE BUDGET SUMMARY'!E140+'OVERALL HE BUDGET SUMMARY'!E141+'OVERALL HE BUDGET SUMMARY'!E142</f>
        <v>9534421.8000000007</v>
      </c>
      <c r="C18" s="4229">
        <f>'OVERALL HE BUDGET SUMMARY'!F139+'OVERALL HE BUDGET SUMMARY'!F140+'OVERALL HE BUDGET SUMMARY'!F141+'OVERALL HE BUDGET SUMMARY'!F142</f>
        <v>-149254.94</v>
      </c>
      <c r="D18" s="4229">
        <f>'OVERALL HE BUDGET SUMMARY'!G139+'OVERALL HE BUDGET SUMMARY'!G140+'OVERALL HE BUDGET SUMMARY'!G141+'OVERALL HE BUDGET SUMMARY'!G142</f>
        <v>9385166.8599999994</v>
      </c>
      <c r="E18" s="4229">
        <f>'OVERALL HE BUDGET SUMMARY'!I139+'OVERALL HE BUDGET SUMMARY'!I140+'OVERALL HE BUDGET SUMMARY'!I141+'OVERALL HE BUDGET SUMMARY'!I142</f>
        <v>14120051.523</v>
      </c>
      <c r="F18" s="4229">
        <f>'OVERALL HE BUDGET SUMMARY'!K139+'OVERALL HE BUDGET SUMMARY'!K140+'OVERALL HE BUDGET SUMMARY'!K141+'OVERALL HE BUDGET SUMMARY'!K142</f>
        <v>14220051.523</v>
      </c>
      <c r="G18" s="4247"/>
      <c r="H18" s="4229">
        <f>E18-D18</f>
        <v>4734884.6630000006</v>
      </c>
      <c r="I18" s="4229">
        <f>F18-D18</f>
        <v>4834884.6630000006</v>
      </c>
      <c r="J18" s="4240">
        <f>H18/D18</f>
        <v>0.50450724357179955</v>
      </c>
      <c r="K18" s="4241">
        <f>I18/D18</f>
        <v>0.51516235514218667</v>
      </c>
      <c r="L18" s="4372"/>
      <c r="M18" s="4361"/>
      <c r="N18" s="4371"/>
    </row>
    <row r="19" spans="1:14" s="4213" customFormat="1" ht="13.8" thickTop="1">
      <c r="A19" s="4225" t="s">
        <v>814</v>
      </c>
      <c r="B19" s="4230">
        <f>SUM(B6:B18)</f>
        <v>1701997798.8499999</v>
      </c>
      <c r="C19" s="4230">
        <f t="shared" ref="C19:F19" si="0">SUM(C6:C18)</f>
        <v>-3546478.073369999</v>
      </c>
      <c r="D19" s="4230">
        <f t="shared" si="0"/>
        <v>1698451320.7766299</v>
      </c>
      <c r="E19" s="4230">
        <f>SUM(E6:E18)</f>
        <v>1960366448.858815</v>
      </c>
      <c r="F19" s="4230">
        <f t="shared" si="0"/>
        <v>1943630118.568815</v>
      </c>
      <c r="G19" s="4248"/>
      <c r="H19" s="4230">
        <f>E19-D19</f>
        <v>261915128.08218503</v>
      </c>
      <c r="I19" s="4230">
        <f>F19-D19</f>
        <v>245178797.79218507</v>
      </c>
      <c r="J19" s="4242">
        <f>H19/D19</f>
        <v>0.15420820419064016</v>
      </c>
      <c r="K19" s="4243">
        <f>I19/D19</f>
        <v>0.14435432725859648</v>
      </c>
    </row>
    <row r="20" spans="1:14" ht="8.1" customHeight="1">
      <c r="A20" s="4221"/>
      <c r="B20" s="4228"/>
      <c r="C20" s="4228"/>
      <c r="D20" s="4228"/>
      <c r="E20" s="4228"/>
      <c r="F20" s="4228"/>
      <c r="G20" s="4222"/>
      <c r="H20" s="4228"/>
      <c r="I20" s="4228"/>
      <c r="J20" s="4238"/>
      <c r="K20" s="4239"/>
    </row>
    <row r="21" spans="1:14" ht="13.8" thickBot="1">
      <c r="A21" s="4224" t="s">
        <v>822</v>
      </c>
      <c r="B21" s="4229">
        <f>'OVERALL HE BUDGET SUMMARY'!E173</f>
        <v>5615134</v>
      </c>
      <c r="C21" s="4229">
        <f>'OVERALL HE BUDGET SUMMARY'!F173</f>
        <v>0</v>
      </c>
      <c r="D21" s="4229">
        <f>'OVERALL HE BUDGET SUMMARY'!G173</f>
        <v>5615134</v>
      </c>
      <c r="E21" s="4229">
        <f>'OVERALL HE BUDGET SUMMARY'!I173</f>
        <v>5733848</v>
      </c>
      <c r="F21" s="4229">
        <f>'OVERALL HE BUDGET SUMMARY'!K173</f>
        <v>5687102</v>
      </c>
      <c r="G21" s="4247"/>
      <c r="H21" s="4229">
        <f>E21-D21</f>
        <v>118714</v>
      </c>
      <c r="I21" s="4229">
        <f>F21-D21</f>
        <v>71968</v>
      </c>
      <c r="J21" s="4240">
        <f>H21/D21</f>
        <v>2.1141792876180694E-2</v>
      </c>
      <c r="K21" s="4241">
        <f>I21/D21</f>
        <v>1.281679119322887E-2</v>
      </c>
    </row>
    <row r="22" spans="1:14" s="4213" customFormat="1" ht="14.4" thickTop="1" thickBot="1">
      <c r="A22" s="4226" t="s">
        <v>815</v>
      </c>
      <c r="B22" s="4231">
        <f>B19+B21</f>
        <v>1707612932.8499999</v>
      </c>
      <c r="C22" s="4231">
        <f t="shared" ref="C22:F22" si="1">C19+C21</f>
        <v>-3546478.073369999</v>
      </c>
      <c r="D22" s="4231">
        <f t="shared" si="1"/>
        <v>1704066454.7766299</v>
      </c>
      <c r="E22" s="4231">
        <f>E19+E21</f>
        <v>1966100296.858815</v>
      </c>
      <c r="F22" s="4231">
        <f t="shared" si="1"/>
        <v>1949317220.568815</v>
      </c>
      <c r="G22" s="4249"/>
      <c r="H22" s="4231">
        <f>E22-D22</f>
        <v>262033842.08218503</v>
      </c>
      <c r="I22" s="4231">
        <f>F22-D22</f>
        <v>245250765.79218507</v>
      </c>
      <c r="J22" s="4244">
        <f>H22/D22</f>
        <v>0.15376973201231908</v>
      </c>
      <c r="K22" s="4245">
        <f>I22/D22</f>
        <v>0.14392089293508961</v>
      </c>
    </row>
    <row r="23" spans="1:14">
      <c r="B23" s="4219"/>
      <c r="C23" s="4219"/>
      <c r="D23" s="4219"/>
      <c r="E23" s="4219"/>
      <c r="F23" s="4219"/>
      <c r="G23" s="4219"/>
      <c r="H23" s="4219"/>
      <c r="I23" s="4219"/>
    </row>
    <row r="24" spans="1:14">
      <c r="F24" s="4316" t="s">
        <v>858</v>
      </c>
      <c r="G24" s="4213"/>
      <c r="H24" s="4317">
        <f>H19-H16</f>
        <v>217484109.17582953</v>
      </c>
      <c r="I24" s="4317">
        <f>I19-I16</f>
        <v>214518989.88582957</v>
      </c>
      <c r="J24" s="4318">
        <f>H24/(D22-D16)</f>
        <v>0.15277963966071098</v>
      </c>
      <c r="K24" s="4318">
        <f>I24/(D22-D16)</f>
        <v>0.15069668353856522</v>
      </c>
    </row>
    <row r="25" spans="1:14">
      <c r="A25" s="4396"/>
      <c r="B25" s="4397"/>
      <c r="E25" s="4213"/>
      <c r="F25" s="4316" t="s">
        <v>859</v>
      </c>
      <c r="G25" s="4213"/>
      <c r="H25" s="4317">
        <f>H8+H12</f>
        <v>36655607.732273787</v>
      </c>
      <c r="I25" s="4317">
        <f>I8+I12</f>
        <v>34469748.732273787</v>
      </c>
      <c r="J25" s="4318">
        <f>H25/(D12+D8)</f>
        <v>0.2462664645439703</v>
      </c>
      <c r="K25" s="4318">
        <f>I25/(D8+D12)</f>
        <v>0.23158102345530263</v>
      </c>
    </row>
    <row r="26" spans="1:14">
      <c r="A26" s="4396"/>
      <c r="B26" s="4398"/>
      <c r="F26" s="4316" t="s">
        <v>876</v>
      </c>
      <c r="G26" s="4213"/>
      <c r="H26" s="4346">
        <f>H6+H12</f>
        <v>74353993.590346664</v>
      </c>
      <c r="I26" s="4346">
        <f>I6+I12</f>
        <v>74353993.590346664</v>
      </c>
      <c r="J26" s="4347">
        <f>H26/($D$6+$D$12)</f>
        <v>6.1181128481883687E-2</v>
      </c>
      <c r="K26" s="4347">
        <f>I26/($D$6+$D$12)</f>
        <v>6.1181128481883687E-2</v>
      </c>
    </row>
    <row r="27" spans="1:14">
      <c r="B27" s="4396"/>
      <c r="F27" s="859"/>
      <c r="G27" s="859"/>
      <c r="H27" s="859"/>
      <c r="I27" s="859"/>
      <c r="J27" s="859"/>
      <c r="K27" s="859"/>
    </row>
    <row r="28" spans="1:14">
      <c r="B28" s="4396"/>
      <c r="F28" s="4316" t="s">
        <v>900</v>
      </c>
      <c r="G28" s="4213"/>
      <c r="H28" s="4348">
        <f>14055686287</f>
        <v>14055686287</v>
      </c>
      <c r="I28" s="4348">
        <f>H28</f>
        <v>14055686287</v>
      </c>
      <c r="J28" s="4349"/>
      <c r="K28" s="859"/>
    </row>
    <row r="29" spans="1:14">
      <c r="B29" s="4396"/>
      <c r="D29" s="4313"/>
      <c r="E29" s="4314"/>
      <c r="F29" s="4316" t="s">
        <v>877</v>
      </c>
      <c r="G29" s="4213"/>
      <c r="H29" s="4347">
        <f>E19/H28</f>
        <v>0.13947141454572326</v>
      </c>
      <c r="I29" s="4347">
        <f>F19/I28</f>
        <v>0.13828069856442826</v>
      </c>
      <c r="J29" s="859"/>
      <c r="K29" s="859"/>
    </row>
    <row r="30" spans="1:14">
      <c r="A30" s="4360" t="s">
        <v>878</v>
      </c>
      <c r="B30" s="4397"/>
      <c r="D30" s="4313"/>
      <c r="E30" s="4314"/>
    </row>
    <row r="31" spans="1:14">
      <c r="A31" s="859" t="s">
        <v>923</v>
      </c>
      <c r="B31" s="4398"/>
      <c r="I31" s="4370"/>
    </row>
    <row r="32" spans="1:14">
      <c r="A32" s="859" t="s">
        <v>924</v>
      </c>
      <c r="B32" s="4396"/>
      <c r="F32" s="4360" t="s">
        <v>948</v>
      </c>
      <c r="I32" s="4370"/>
    </row>
    <row r="33" spans="1:9">
      <c r="A33" s="859" t="s">
        <v>925</v>
      </c>
      <c r="B33" s="4397"/>
      <c r="F33" s="4419" t="s">
        <v>954</v>
      </c>
      <c r="I33" s="4370"/>
    </row>
    <row r="34" spans="1:9">
      <c r="A34" s="859" t="s">
        <v>926</v>
      </c>
      <c r="B34" s="4398"/>
      <c r="F34" s="4419" t="s">
        <v>949</v>
      </c>
      <c r="I34" s="4370"/>
    </row>
    <row r="35" spans="1:9">
      <c r="A35" s="859" t="s">
        <v>890</v>
      </c>
      <c r="B35" s="4396"/>
      <c r="F35" s="4419" t="s">
        <v>950</v>
      </c>
      <c r="I35" s="4370"/>
    </row>
    <row r="36" spans="1:9">
      <c r="A36" s="4396"/>
      <c r="B36" s="4397"/>
      <c r="F36" s="4419" t="s">
        <v>960</v>
      </c>
      <c r="I36" s="4361"/>
    </row>
    <row r="37" spans="1:9">
      <c r="A37" s="4396"/>
      <c r="B37" s="4398"/>
      <c r="F37" s="4419" t="s">
        <v>951</v>
      </c>
      <c r="I37" s="4369"/>
    </row>
    <row r="38" spans="1:9">
      <c r="A38" s="4396"/>
      <c r="B38" s="4396"/>
      <c r="F38" s="4419" t="s">
        <v>961</v>
      </c>
    </row>
    <row r="39" spans="1:9">
      <c r="A39" s="4396"/>
      <c r="B39" s="4397"/>
      <c r="F39" s="4419" t="s">
        <v>962</v>
      </c>
    </row>
    <row r="40" spans="1:9">
      <c r="A40" s="4396"/>
      <c r="B40" s="4398"/>
      <c r="F40" s="4419" t="s">
        <v>963</v>
      </c>
    </row>
    <row r="41" spans="1:9">
      <c r="A41" s="4396"/>
      <c r="B41" s="4396"/>
    </row>
    <row r="42" spans="1:9">
      <c r="A42" s="4396"/>
      <c r="B42" s="4397"/>
    </row>
    <row r="43" spans="1:9">
      <c r="A43" s="4396"/>
      <c r="B43" s="4398"/>
    </row>
    <row r="44" spans="1:9">
      <c r="A44" s="4396"/>
      <c r="B44" s="4396"/>
    </row>
    <row r="45" spans="1:9">
      <c r="A45" s="4396"/>
      <c r="B45" s="4397"/>
    </row>
    <row r="46" spans="1:9">
      <c r="A46" s="4396"/>
      <c r="B46" s="4398"/>
    </row>
    <row r="47" spans="1:9" s="859" customFormat="1">
      <c r="A47" s="4396"/>
      <c r="B47" s="4398"/>
    </row>
    <row r="48" spans="1:9" s="859" customFormat="1">
      <c r="A48" s="4399"/>
      <c r="B48" s="4397"/>
    </row>
    <row r="49" spans="1:6" s="859" customFormat="1">
      <c r="A49" s="4399"/>
      <c r="B49" s="4398"/>
    </row>
    <row r="50" spans="1:6">
      <c r="A50" s="4396"/>
      <c r="B50" s="4396"/>
    </row>
    <row r="51" spans="1:6">
      <c r="A51" s="4400"/>
      <c r="B51" s="4401"/>
    </row>
    <row r="52" spans="1:6">
      <c r="A52" s="4400"/>
      <c r="B52" s="4402"/>
    </row>
    <row r="55" spans="1:6">
      <c r="B55" s="4217" t="str">
        <f>IF(B22='OVERALL HE BUDGET SUMMARY'!E174,"GOOD","BAD")</f>
        <v>GOOD</v>
      </c>
      <c r="C55" s="4217" t="str">
        <f>IF(C22='OVERALL HE BUDGET SUMMARY'!F174,"GOOD","BAD")</f>
        <v>GOOD</v>
      </c>
      <c r="D55" s="4217" t="str">
        <f>IF(D22='OVERALL HE BUDGET SUMMARY'!G174,"GOOD","BAD")</f>
        <v>GOOD</v>
      </c>
      <c r="E55" s="4217" t="str">
        <f>IF(E22='OVERALL HE BUDGET SUMMARY'!I174,"GOOD","BAD")</f>
        <v>GOOD</v>
      </c>
      <c r="F55" s="4217" t="str">
        <f>IF(F22='OVERALL HE BUDGET SUMMARY'!K174,"GOOD","BAD")</f>
        <v>GOOD</v>
      </c>
    </row>
  </sheetData>
  <pageMargins left="0.37" right="0.7" top="0.46" bottom="0.44" header="0.3" footer="0.3"/>
  <pageSetup scale="70" orientation="landscape" r:id="rId1"/>
  <headerFooter>
    <oddFooter>&amp;LHouse Ways and Means Cmte Amendment 1001 2-14-13&amp;R&amp;D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workbookViewId="0">
      <selection activeCell="B7" sqref="B7"/>
    </sheetView>
  </sheetViews>
  <sheetFormatPr defaultColWidth="9.109375" defaultRowHeight="14.4"/>
  <cols>
    <col min="1" max="1" width="46.44140625" style="4373" bestFit="1" customWidth="1"/>
    <col min="2" max="2" width="15.88671875" style="4379" customWidth="1"/>
    <col min="3" max="3" width="9.109375" style="4373"/>
    <col min="4" max="4" width="14.5546875" style="4373" bestFit="1" customWidth="1"/>
    <col min="5" max="6" width="11.5546875" style="4373" bestFit="1" customWidth="1"/>
    <col min="7" max="16384" width="9.109375" style="4373"/>
  </cols>
  <sheetData>
    <row r="1" spans="1:6">
      <c r="A1" s="4206" t="s">
        <v>787</v>
      </c>
      <c r="D1" s="4380">
        <v>50</v>
      </c>
      <c r="E1" s="4380">
        <f>35</f>
        <v>35</v>
      </c>
      <c r="F1" s="4380">
        <v>25</v>
      </c>
    </row>
    <row r="2" spans="1:6">
      <c r="D2" s="4380">
        <f>$D$1*30</f>
        <v>1500</v>
      </c>
      <c r="E2" s="4380">
        <f>$E$1*30</f>
        <v>1050</v>
      </c>
      <c r="F2" s="4380">
        <f>$F$1*30</f>
        <v>750</v>
      </c>
    </row>
    <row r="3" spans="1:6">
      <c r="D3" s="4380"/>
      <c r="E3" s="4380"/>
      <c r="F3" s="4380"/>
    </row>
    <row r="4" spans="1:6" s="4209" customFormat="1" ht="29.4" thickBot="1">
      <c r="A4" s="4207" t="s">
        <v>788</v>
      </c>
      <c r="B4" s="4208" t="s">
        <v>806</v>
      </c>
      <c r="C4" s="4207" t="s">
        <v>789</v>
      </c>
      <c r="D4" s="4207" t="s">
        <v>790</v>
      </c>
      <c r="E4" s="4207" t="s">
        <v>791</v>
      </c>
      <c r="F4" s="4207" t="s">
        <v>792</v>
      </c>
    </row>
    <row r="5" spans="1:6">
      <c r="A5" s="4373" t="s">
        <v>224</v>
      </c>
      <c r="B5" s="4381">
        <v>1989</v>
      </c>
      <c r="C5" s="4374">
        <f>B5/30</f>
        <v>66.3</v>
      </c>
      <c r="D5" s="4382">
        <f>C5*$D$2</f>
        <v>99450</v>
      </c>
      <c r="E5" s="4375">
        <f>C5*$E$2</f>
        <v>69615</v>
      </c>
      <c r="F5" s="4375">
        <f>C5*$F$2</f>
        <v>49725</v>
      </c>
    </row>
    <row r="6" spans="1:6">
      <c r="A6" s="4373" t="s">
        <v>217</v>
      </c>
      <c r="B6" s="4381">
        <v>1664</v>
      </c>
      <c r="C6" s="4374">
        <f t="shared" ref="C6:C20" si="0">B6/30</f>
        <v>55.466666666666669</v>
      </c>
      <c r="D6" s="4382">
        <f t="shared" ref="D6:D20" si="1">C6*$D$2</f>
        <v>83200</v>
      </c>
      <c r="E6" s="4375">
        <f t="shared" ref="E6:E20" si="2">C6*$E$2</f>
        <v>58240</v>
      </c>
      <c r="F6" s="4375">
        <f t="shared" ref="F6:F20" si="3">C6*$F$2</f>
        <v>41600</v>
      </c>
    </row>
    <row r="7" spans="1:6">
      <c r="A7" s="4373" t="s">
        <v>793</v>
      </c>
      <c r="B7" s="4381">
        <v>14010</v>
      </c>
      <c r="C7" s="4374">
        <f t="shared" si="0"/>
        <v>467</v>
      </c>
      <c r="D7" s="4382">
        <f t="shared" si="1"/>
        <v>700500</v>
      </c>
      <c r="E7" s="4375">
        <f t="shared" si="2"/>
        <v>490350</v>
      </c>
      <c r="F7" s="4375">
        <f t="shared" si="3"/>
        <v>350250</v>
      </c>
    </row>
    <row r="8" spans="1:6">
      <c r="A8" s="4373" t="s">
        <v>794</v>
      </c>
      <c r="B8" s="4381">
        <v>3195</v>
      </c>
      <c r="C8" s="4374">
        <f t="shared" si="0"/>
        <v>106.5</v>
      </c>
      <c r="D8" s="4382">
        <f t="shared" si="1"/>
        <v>159750</v>
      </c>
      <c r="E8" s="4375">
        <f t="shared" si="2"/>
        <v>111825</v>
      </c>
      <c r="F8" s="4375">
        <f t="shared" si="3"/>
        <v>79875</v>
      </c>
    </row>
    <row r="9" spans="1:6">
      <c r="A9" s="4373" t="s">
        <v>795</v>
      </c>
      <c r="B9" s="4381">
        <v>3185</v>
      </c>
      <c r="C9" s="4374">
        <f t="shared" si="0"/>
        <v>106.16666666666667</v>
      </c>
      <c r="D9" s="4382">
        <f t="shared" si="1"/>
        <v>159250</v>
      </c>
      <c r="E9" s="4375">
        <f t="shared" si="2"/>
        <v>111475</v>
      </c>
      <c r="F9" s="4375">
        <f t="shared" si="3"/>
        <v>79625</v>
      </c>
    </row>
    <row r="10" spans="1:6">
      <c r="A10" s="4373" t="s">
        <v>796</v>
      </c>
      <c r="B10" s="4381">
        <v>740</v>
      </c>
      <c r="C10" s="4374">
        <f t="shared" si="0"/>
        <v>24.666666666666668</v>
      </c>
      <c r="D10" s="4382">
        <f t="shared" si="1"/>
        <v>37000</v>
      </c>
      <c r="E10" s="4375">
        <f t="shared" si="2"/>
        <v>25900</v>
      </c>
      <c r="F10" s="4375">
        <f t="shared" si="3"/>
        <v>18500</v>
      </c>
    </row>
    <row r="11" spans="1:6">
      <c r="A11" s="4373" t="s">
        <v>798</v>
      </c>
      <c r="B11" s="4381">
        <v>0</v>
      </c>
      <c r="C11" s="4374">
        <f t="shared" si="0"/>
        <v>0</v>
      </c>
      <c r="D11" s="4382">
        <f t="shared" si="1"/>
        <v>0</v>
      </c>
      <c r="E11" s="4375">
        <f t="shared" si="2"/>
        <v>0</v>
      </c>
      <c r="F11" s="4375">
        <f t="shared" si="3"/>
        <v>0</v>
      </c>
    </row>
    <row r="12" spans="1:6">
      <c r="A12" s="4373" t="s">
        <v>799</v>
      </c>
      <c r="B12" s="4381">
        <v>7113</v>
      </c>
      <c r="C12" s="4374">
        <f t="shared" si="0"/>
        <v>237.1</v>
      </c>
      <c r="D12" s="4382">
        <f t="shared" si="1"/>
        <v>355650</v>
      </c>
      <c r="E12" s="4375">
        <f t="shared" si="2"/>
        <v>248955</v>
      </c>
      <c r="F12" s="4375">
        <f t="shared" si="3"/>
        <v>177825</v>
      </c>
    </row>
    <row r="13" spans="1:6">
      <c r="A13" s="4373" t="s">
        <v>800</v>
      </c>
      <c r="B13" s="4381">
        <v>847</v>
      </c>
      <c r="C13" s="4374">
        <f t="shared" si="0"/>
        <v>28.233333333333334</v>
      </c>
      <c r="D13" s="4382">
        <f t="shared" si="1"/>
        <v>42350</v>
      </c>
      <c r="E13" s="4375">
        <f t="shared" si="2"/>
        <v>29645</v>
      </c>
      <c r="F13" s="4375">
        <f t="shared" si="3"/>
        <v>21175</v>
      </c>
    </row>
    <row r="14" spans="1:6">
      <c r="A14" s="4373" t="s">
        <v>633</v>
      </c>
      <c r="B14" s="4381">
        <v>82503</v>
      </c>
      <c r="C14" s="4374">
        <f t="shared" si="0"/>
        <v>2750.1</v>
      </c>
      <c r="D14" s="4382">
        <f t="shared" si="1"/>
        <v>4125150</v>
      </c>
      <c r="E14" s="4375">
        <f t="shared" si="2"/>
        <v>2887605</v>
      </c>
      <c r="F14" s="4375">
        <f t="shared" si="3"/>
        <v>2062575</v>
      </c>
    </row>
    <row r="15" spans="1:6">
      <c r="A15" s="4373" t="s">
        <v>801</v>
      </c>
      <c r="B15" s="4381">
        <v>978</v>
      </c>
      <c r="C15" s="4374">
        <f t="shared" si="0"/>
        <v>32.6</v>
      </c>
      <c r="D15" s="4382">
        <f t="shared" si="1"/>
        <v>48900</v>
      </c>
      <c r="E15" s="4375">
        <f t="shared" si="2"/>
        <v>34230</v>
      </c>
      <c r="F15" s="4375">
        <f t="shared" si="3"/>
        <v>24450</v>
      </c>
    </row>
    <row r="16" spans="1:6">
      <c r="A16" s="4373" t="s">
        <v>802</v>
      </c>
      <c r="B16" s="4381">
        <v>7323</v>
      </c>
      <c r="C16" s="4374">
        <f>B16/30</f>
        <v>244.1</v>
      </c>
      <c r="D16" s="4382">
        <f>C16*$D$2</f>
        <v>366150</v>
      </c>
      <c r="E16" s="4375">
        <f t="shared" si="2"/>
        <v>256305</v>
      </c>
      <c r="F16" s="4375">
        <f t="shared" si="3"/>
        <v>183075</v>
      </c>
    </row>
    <row r="17" spans="1:6">
      <c r="A17" s="4373" t="s">
        <v>803</v>
      </c>
      <c r="B17" s="4381">
        <v>1009</v>
      </c>
      <c r="C17" s="4374">
        <f t="shared" si="0"/>
        <v>33.633333333333333</v>
      </c>
      <c r="D17" s="4382">
        <f t="shared" si="1"/>
        <v>50450</v>
      </c>
      <c r="E17" s="4375">
        <f t="shared" si="2"/>
        <v>35315</v>
      </c>
      <c r="F17" s="4375">
        <f t="shared" si="3"/>
        <v>25225</v>
      </c>
    </row>
    <row r="18" spans="1:6">
      <c r="A18" s="4373" t="s">
        <v>797</v>
      </c>
      <c r="B18" s="4381">
        <v>5584</v>
      </c>
      <c r="C18" s="4374">
        <f>B18/30</f>
        <v>186.13333333333333</v>
      </c>
      <c r="D18" s="4382">
        <f>C18*$D$2</f>
        <v>279200</v>
      </c>
      <c r="E18" s="4375">
        <f>C18*$E$2</f>
        <v>195440</v>
      </c>
      <c r="F18" s="4375">
        <f>C18*$F$2</f>
        <v>139600</v>
      </c>
    </row>
    <row r="19" spans="1:6">
      <c r="A19" s="4373" t="s">
        <v>804</v>
      </c>
      <c r="B19" s="4381">
        <v>5482</v>
      </c>
      <c r="C19" s="4374">
        <f t="shared" si="0"/>
        <v>182.73333333333332</v>
      </c>
      <c r="D19" s="4382">
        <f t="shared" si="1"/>
        <v>274100</v>
      </c>
      <c r="E19" s="4375">
        <f t="shared" si="2"/>
        <v>191870</v>
      </c>
      <c r="F19" s="4375">
        <f t="shared" si="3"/>
        <v>137050</v>
      </c>
    </row>
    <row r="20" spans="1:6" ht="15" thickBot="1">
      <c r="A20" s="4376" t="s">
        <v>805</v>
      </c>
      <c r="B20" s="4383">
        <v>29493</v>
      </c>
      <c r="C20" s="4377">
        <f t="shared" si="0"/>
        <v>983.1</v>
      </c>
      <c r="D20" s="4384">
        <f t="shared" si="1"/>
        <v>1474650</v>
      </c>
      <c r="E20" s="4378">
        <f t="shared" si="2"/>
        <v>1032255</v>
      </c>
      <c r="F20" s="4378">
        <f t="shared" si="3"/>
        <v>737325</v>
      </c>
    </row>
    <row r="21" spans="1:6" ht="15" thickTop="1">
      <c r="B21" s="4381">
        <f>SUM(B5:B20)</f>
        <v>165115</v>
      </c>
      <c r="C21" s="4381">
        <f>SUM(C5:C20)</f>
        <v>5503.833333333333</v>
      </c>
      <c r="D21" s="4210">
        <f>SUM(D5:D20)</f>
        <v>8255750</v>
      </c>
      <c r="E21" s="4210">
        <f t="shared" ref="E21:F21" si="4">SUM(E5:E20)</f>
        <v>5779025</v>
      </c>
      <c r="F21" s="4210">
        <f t="shared" si="4"/>
        <v>4127875</v>
      </c>
    </row>
    <row r="22" spans="1:6">
      <c r="A22" s="4211" t="s">
        <v>807</v>
      </c>
    </row>
    <row r="24" spans="1:6">
      <c r="A24" s="4211" t="s">
        <v>808</v>
      </c>
    </row>
  </sheetData>
  <pageMargins left="0.7" right="0.7" top="0.75" bottom="0.75" header="0.3" footer="0.3"/>
  <pageSetup orientation="landscape" r:id="rId1"/>
  <headerFooter>
    <oddFooter>&amp;LHouse Ways and Means Cmte Amendment 1001 2-14-13&amp;R&amp;D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7"/>
  <sheetViews>
    <sheetView topLeftCell="A137" zoomScale="80" zoomScaleNormal="80" workbookViewId="0">
      <selection activeCell="L165" sqref="L165"/>
    </sheetView>
  </sheetViews>
  <sheetFormatPr defaultColWidth="9.109375" defaultRowHeight="13.2"/>
  <cols>
    <col min="1" max="1" width="40.88671875" style="11" customWidth="1"/>
    <col min="2" max="2" width="10" style="1" bestFit="1" customWidth="1"/>
    <col min="3" max="3" width="1.44140625" style="1" customWidth="1"/>
    <col min="4" max="4" width="10" style="1" bestFit="1" customWidth="1"/>
    <col min="5" max="5" width="1.5546875" style="1" customWidth="1"/>
    <col min="6" max="6" width="10.109375" style="2" bestFit="1" customWidth="1"/>
    <col min="7" max="7" width="1.44140625" style="1" customWidth="1"/>
    <col min="8" max="8" width="9.33203125" style="1" customWidth="1"/>
    <col min="9" max="9" width="1.5546875" style="1" customWidth="1"/>
    <col min="10" max="10" width="9.6640625" style="1" bestFit="1" customWidth="1"/>
    <col min="11" max="11" width="1.44140625" style="1" customWidth="1"/>
    <col min="12" max="12" width="10.109375" style="1" bestFit="1" customWidth="1"/>
    <col min="13" max="13" width="1.44140625" style="1" customWidth="1"/>
    <col min="14" max="14" width="18.109375" style="957" customWidth="1"/>
    <col min="15" max="15" width="1.44140625" style="957" customWidth="1"/>
    <col min="16" max="16" width="17.5546875" style="957" customWidth="1"/>
    <col min="17" max="17" width="1.44140625" style="957" customWidth="1"/>
    <col min="18" max="18" width="16.109375" style="957" customWidth="1"/>
    <col min="19" max="19" width="9.109375" style="2749"/>
    <col min="20" max="20" width="9.5546875" style="3244" bestFit="1" customWidth="1"/>
    <col min="21" max="21" width="6.88671875" style="1" customWidth="1"/>
    <col min="22" max="22" width="8" style="1" bestFit="1" customWidth="1"/>
    <col min="23" max="23" width="6.88671875" style="3260" customWidth="1"/>
    <col min="24" max="24" width="6.6640625" style="1" bestFit="1" customWidth="1"/>
    <col min="25" max="25" width="6.88671875" style="1" customWidth="1"/>
    <col min="26" max="26" width="6.6640625" style="1" bestFit="1" customWidth="1"/>
    <col min="27" max="27" width="6.88671875" style="1" customWidth="1"/>
    <col min="28" max="28" width="6.6640625" style="1" bestFit="1" customWidth="1"/>
    <col min="29" max="16384" width="9.109375" style="1"/>
  </cols>
  <sheetData>
    <row r="1" spans="1:23">
      <c r="A1" s="4479" t="s">
        <v>69</v>
      </c>
      <c r="B1" s="4479"/>
      <c r="C1" s="4479"/>
      <c r="D1" s="4479"/>
      <c r="E1" s="4479"/>
      <c r="F1" s="4479"/>
      <c r="G1" s="4479"/>
      <c r="H1" s="4479"/>
      <c r="I1" s="4479"/>
      <c r="J1" s="4479"/>
      <c r="K1" s="4479"/>
      <c r="L1" s="4479"/>
      <c r="M1" s="4479"/>
      <c r="N1" s="4479"/>
      <c r="O1" s="4479"/>
      <c r="P1" s="4479"/>
      <c r="Q1" s="4479"/>
      <c r="R1" s="4479"/>
    </row>
    <row r="2" spans="1:23">
      <c r="A2" s="4480" t="s">
        <v>26</v>
      </c>
      <c r="B2" s="4480"/>
      <c r="C2" s="4480"/>
      <c r="D2" s="4480"/>
      <c r="E2" s="4480"/>
      <c r="F2" s="4480"/>
      <c r="G2" s="4480"/>
      <c r="H2" s="4480"/>
      <c r="I2" s="4480"/>
      <c r="J2" s="4480"/>
      <c r="K2" s="4480"/>
      <c r="L2" s="4480"/>
      <c r="M2" s="4480"/>
      <c r="N2" s="4480"/>
      <c r="O2" s="4480"/>
      <c r="P2" s="4480"/>
      <c r="Q2" s="4480"/>
      <c r="R2" s="4480"/>
    </row>
    <row r="3" spans="1:23">
      <c r="A3" s="4481" t="s">
        <v>0</v>
      </c>
      <c r="B3" s="4481"/>
      <c r="C3" s="4481"/>
      <c r="D3" s="4481"/>
      <c r="E3" s="4481"/>
      <c r="F3" s="4481"/>
      <c r="G3" s="4481"/>
      <c r="H3" s="4481"/>
      <c r="I3" s="4481"/>
      <c r="J3" s="4481"/>
      <c r="K3" s="4481"/>
      <c r="L3" s="4481"/>
      <c r="M3" s="4481"/>
      <c r="N3" s="4481"/>
      <c r="O3" s="4481"/>
      <c r="P3" s="4481"/>
      <c r="Q3" s="4481"/>
      <c r="R3" s="4481"/>
    </row>
    <row r="4" spans="1:23">
      <c r="A4" s="4481" t="s">
        <v>27</v>
      </c>
      <c r="B4" s="4481"/>
      <c r="C4" s="4481"/>
      <c r="D4" s="4481"/>
      <c r="E4" s="4481"/>
      <c r="F4" s="4481"/>
      <c r="G4" s="4481"/>
      <c r="H4" s="4481"/>
      <c r="I4" s="4481"/>
      <c r="J4" s="4481"/>
      <c r="K4" s="4481"/>
      <c r="L4" s="4481"/>
      <c r="M4" s="4481"/>
      <c r="N4" s="4481"/>
      <c r="O4" s="4481"/>
      <c r="P4" s="4481"/>
      <c r="Q4" s="4481"/>
      <c r="R4" s="4481"/>
    </row>
    <row r="5" spans="1:23" ht="13.8" thickBot="1">
      <c r="A5" s="52" t="s">
        <v>1</v>
      </c>
      <c r="B5" s="52"/>
      <c r="C5" s="52"/>
      <c r="D5" s="52"/>
      <c r="E5" s="52"/>
      <c r="F5" s="52"/>
      <c r="G5" s="52"/>
      <c r="H5" s="52"/>
      <c r="I5" s="52"/>
      <c r="J5" s="52"/>
      <c r="K5" s="52"/>
      <c r="L5" s="52"/>
      <c r="M5" s="52"/>
      <c r="O5" s="958"/>
      <c r="Q5" s="958"/>
    </row>
    <row r="6" spans="1:23" s="7" customFormat="1" ht="27" thickBot="1">
      <c r="A6" s="442" t="s">
        <v>173</v>
      </c>
      <c r="B6" s="60" t="s">
        <v>2</v>
      </c>
      <c r="C6" s="61"/>
      <c r="D6" s="62" t="s">
        <v>3</v>
      </c>
      <c r="E6" s="61"/>
      <c r="F6" s="63" t="s">
        <v>4</v>
      </c>
      <c r="G6" s="61"/>
      <c r="H6" s="59" t="s">
        <v>5</v>
      </c>
      <c r="I6" s="61"/>
      <c r="J6" s="59" t="s">
        <v>6</v>
      </c>
      <c r="K6" s="61"/>
      <c r="L6" s="59" t="s">
        <v>7</v>
      </c>
      <c r="M6" s="61"/>
      <c r="N6" s="959" t="s">
        <v>33</v>
      </c>
      <c r="O6" s="960"/>
      <c r="P6" s="959" t="s">
        <v>34</v>
      </c>
      <c r="Q6" s="960"/>
      <c r="R6" s="961" t="s">
        <v>35</v>
      </c>
      <c r="S6" s="3239"/>
      <c r="T6" s="3246"/>
      <c r="W6" s="3521"/>
    </row>
    <row r="7" spans="1:23">
      <c r="A7" s="15" t="s">
        <v>28</v>
      </c>
      <c r="B7" s="3083">
        <f>B19+B31+B43+B55+B67+B79+B91+B103+B115+B127+B139+B151+B163+B175+B187+B199</f>
        <v>2141</v>
      </c>
      <c r="C7" s="3084"/>
      <c r="D7" s="3085">
        <f>D19+D31+D43+D55+D67+D79+D91+D103+D115+D127+D139+D151+D163+D175+D187+D199</f>
        <v>2258</v>
      </c>
      <c r="E7" s="3084"/>
      <c r="F7" s="3085">
        <f>F19+F31+F43+F55+F67+F79+F91+F103+F115+F127+F139+F151+F163+F175+F187+F199</f>
        <v>2216</v>
      </c>
      <c r="G7" s="3084"/>
      <c r="H7" s="3085">
        <f>H19+H31+H43+H55+H67+H79+H91+H103+H115+H127+H139+H151+H163+H175+H187+H199</f>
        <v>1972</v>
      </c>
      <c r="I7" s="3084"/>
      <c r="J7" s="3085">
        <f>J19+J31+J43+J55+J67+J79+J91+J103+J115+J127+J139+J151+J163+J175+J187+J199</f>
        <v>2199</v>
      </c>
      <c r="K7" s="3084"/>
      <c r="L7" s="3085">
        <f>L19+L31+L43+L55+L67+L79+L91+L103+L115+L127+L139+L151+L163+L175+L187+L199</f>
        <v>2683</v>
      </c>
      <c r="M7" s="72"/>
      <c r="N7" s="962">
        <f>AVERAGE(B7:F7)</f>
        <v>2205</v>
      </c>
      <c r="O7" s="963"/>
      <c r="P7" s="962">
        <f>AVERAGE(H7:L7)</f>
        <v>2284.6666666666665</v>
      </c>
      <c r="Q7" s="963"/>
      <c r="R7" s="964">
        <f>P7-N7</f>
        <v>79.666666666666515</v>
      </c>
      <c r="U7" s="3544"/>
      <c r="V7" s="3544"/>
    </row>
    <row r="8" spans="1:23">
      <c r="A8" s="15"/>
      <c r="B8" s="3083"/>
      <c r="C8" s="3084"/>
      <c r="D8" s="3085"/>
      <c r="E8" s="3084"/>
      <c r="F8" s="3085"/>
      <c r="G8" s="3084"/>
      <c r="H8" s="3085"/>
      <c r="I8" s="3084"/>
      <c r="J8" s="3085"/>
      <c r="K8" s="3084"/>
      <c r="L8" s="3085"/>
      <c r="M8" s="72"/>
      <c r="N8" s="962"/>
      <c r="O8" s="963"/>
      <c r="P8" s="962"/>
      <c r="Q8" s="963"/>
      <c r="R8" s="964"/>
      <c r="U8" s="3544"/>
      <c r="V8" s="3544"/>
    </row>
    <row r="9" spans="1:23">
      <c r="A9" s="15" t="s">
        <v>65</v>
      </c>
      <c r="B9" s="3083">
        <f t="shared" ref="B9:D15" si="0">B21+B33+B45+B57+B69+B81+B93+B105+B117+B129+B141+B153+B165+B177+B189+B201</f>
        <v>5697</v>
      </c>
      <c r="C9" s="3068"/>
      <c r="D9" s="3069">
        <f t="shared" si="0"/>
        <v>5711</v>
      </c>
      <c r="E9" s="3068"/>
      <c r="F9" s="3069">
        <f t="shared" ref="F9" si="1">F21+F33+F45+F57+F69+F81+F93+F105+F117+F129+F141+F153+F165+F177+F189+F201</f>
        <v>6053</v>
      </c>
      <c r="G9" s="3068"/>
      <c r="H9" s="3069">
        <f t="shared" ref="H9" si="2">H21+H33+H45+H57+H69+H81+H93+H105+H117+H129+H141+H153+H165+H177+H189+H201</f>
        <v>6388</v>
      </c>
      <c r="I9" s="3068"/>
      <c r="J9" s="3069">
        <f t="shared" ref="J9" si="3">J21+J33+J45+J57+J69+J81+J93+J105+J117+J129+J141+J153+J165+J177+J189+J201</f>
        <v>7417</v>
      </c>
      <c r="K9" s="3068"/>
      <c r="L9" s="3069">
        <f t="shared" ref="L9" si="4">L21+L33+L45+L57+L69+L81+L93+L105+L117+L129+L141+L153+L165+L177+L189+L201</f>
        <v>8618</v>
      </c>
      <c r="M9" s="74"/>
      <c r="N9" s="962">
        <f>AVERAGE(B9:F9)</f>
        <v>5820.333333333333</v>
      </c>
      <c r="O9" s="963"/>
      <c r="P9" s="962">
        <f>AVERAGE(H9:L9)</f>
        <v>7474.333333333333</v>
      </c>
      <c r="Q9" s="963"/>
      <c r="R9" s="964">
        <f>P9-N9</f>
        <v>1654</v>
      </c>
      <c r="U9" s="3544"/>
      <c r="V9" s="3544"/>
    </row>
    <row r="10" spans="1:23">
      <c r="A10" s="15"/>
      <c r="B10" s="3083"/>
      <c r="C10" s="3068"/>
      <c r="D10" s="3069"/>
      <c r="E10" s="3068"/>
      <c r="F10" s="3069"/>
      <c r="G10" s="3068"/>
      <c r="H10" s="3069"/>
      <c r="I10" s="3068"/>
      <c r="J10" s="3069"/>
      <c r="K10" s="3068"/>
      <c r="L10" s="3069"/>
      <c r="M10" s="74"/>
      <c r="N10" s="962"/>
      <c r="O10" s="965"/>
      <c r="P10" s="962"/>
      <c r="Q10" s="965"/>
      <c r="R10" s="964"/>
      <c r="U10" s="3544"/>
      <c r="V10" s="3544"/>
    </row>
    <row r="11" spans="1:23">
      <c r="A11" s="15" t="s">
        <v>29</v>
      </c>
      <c r="B11" s="3083">
        <f t="shared" si="0"/>
        <v>19423</v>
      </c>
      <c r="C11" s="3068"/>
      <c r="D11" s="3069">
        <f t="shared" si="0"/>
        <v>19443</v>
      </c>
      <c r="E11" s="3068"/>
      <c r="F11" s="3069">
        <f t="shared" ref="F11" si="5">F23+F35+F47+F59+F71+F83+F95+F107+F119+F131+F143+F155+F167+F179+F191+F203</f>
        <v>19463</v>
      </c>
      <c r="G11" s="3068"/>
      <c r="H11" s="3069">
        <f t="shared" ref="H11" si="6">H23+H35+H47+H59+H71+H83+H95+H107+H119+H131+H143+H155+H167+H179+H191+H203</f>
        <v>19839</v>
      </c>
      <c r="I11" s="3068"/>
      <c r="J11" s="3069">
        <f t="shared" ref="J11" si="7">J23+J35+J47+J59+J71+J83+J95+J107+J119+J131+J143+J155+J167+J179+J191+J203</f>
        <v>20312</v>
      </c>
      <c r="K11" s="3068"/>
      <c r="L11" s="3069">
        <f t="shared" ref="L11" si="8">L23+L35+L47+L59+L71+L83+L95+L107+L119+L131+L143+L155+L167+L179+L191+L203</f>
        <v>21089</v>
      </c>
      <c r="M11" s="74"/>
      <c r="N11" s="962">
        <f>AVERAGE(B11:F11)</f>
        <v>19443</v>
      </c>
      <c r="O11" s="963"/>
      <c r="P11" s="962">
        <f>AVERAGE(H11:L11)</f>
        <v>20413.333333333332</v>
      </c>
      <c r="Q11" s="963"/>
      <c r="R11" s="964">
        <f>P11-N11</f>
        <v>970.33333333333212</v>
      </c>
      <c r="U11" s="3544"/>
      <c r="V11" s="3544"/>
    </row>
    <row r="12" spans="1:23">
      <c r="A12" s="15"/>
      <c r="B12" s="3083"/>
      <c r="C12" s="3068"/>
      <c r="D12" s="3069"/>
      <c r="E12" s="3068"/>
      <c r="F12" s="3069"/>
      <c r="G12" s="3068"/>
      <c r="H12" s="3069"/>
      <c r="I12" s="3068"/>
      <c r="J12" s="3069"/>
      <c r="K12" s="3068"/>
      <c r="L12" s="3069"/>
      <c r="M12" s="74"/>
      <c r="N12" s="962"/>
      <c r="O12" s="965"/>
      <c r="P12" s="962"/>
      <c r="Q12" s="965"/>
      <c r="R12" s="964"/>
      <c r="U12" s="3544"/>
      <c r="V12" s="3544"/>
    </row>
    <row r="13" spans="1:23">
      <c r="A13" s="15" t="s">
        <v>30</v>
      </c>
      <c r="B13" s="3083">
        <f t="shared" si="0"/>
        <v>4110</v>
      </c>
      <c r="C13" s="3068"/>
      <c r="D13" s="3069">
        <f t="shared" si="0"/>
        <v>3974</v>
      </c>
      <c r="E13" s="3068"/>
      <c r="F13" s="3069">
        <f t="shared" ref="F13" si="9">F25+F37+F49+F61+F73+F85+F97+F109+F121+F133+F145+F157+F169+F181+F193+F205</f>
        <v>4102</v>
      </c>
      <c r="G13" s="3068"/>
      <c r="H13" s="3069">
        <f t="shared" ref="H13" si="10">H25+H37+H49+H61+H73+H85+H97+H109+H121+H133+H145+H157+H169+H181+H193+H205</f>
        <v>4105</v>
      </c>
      <c r="I13" s="3068"/>
      <c r="J13" s="3069">
        <f t="shared" ref="J13" si="11">J25+J37+J49+J61+J73+J85+J97+J109+J121+J133+J145+J157+J169+J181+J193+J205</f>
        <v>4402</v>
      </c>
      <c r="K13" s="3068"/>
      <c r="L13" s="3069">
        <f t="shared" ref="L13" si="12">L25+L37+L49+L61+L73+L85+L97+L109+L121+L133+L145+L157+L169+L181+L193+L205</f>
        <v>4747</v>
      </c>
      <c r="M13" s="74"/>
      <c r="N13" s="962">
        <f>AVERAGE(B13:F13)</f>
        <v>4062</v>
      </c>
      <c r="O13" s="963"/>
      <c r="P13" s="962">
        <f>AVERAGE(H13:L13)</f>
        <v>4418</v>
      </c>
      <c r="Q13" s="963"/>
      <c r="R13" s="964">
        <f>P13-N13</f>
        <v>356</v>
      </c>
      <c r="U13" s="3544"/>
      <c r="V13" s="3544"/>
    </row>
    <row r="14" spans="1:23">
      <c r="A14" s="15"/>
      <c r="B14" s="3083"/>
      <c r="C14" s="3068"/>
      <c r="D14" s="3069"/>
      <c r="E14" s="3068"/>
      <c r="F14" s="3069"/>
      <c r="G14" s="3068"/>
      <c r="H14" s="3069"/>
      <c r="I14" s="3068"/>
      <c r="J14" s="3069"/>
      <c r="K14" s="3068"/>
      <c r="L14" s="3069"/>
      <c r="M14" s="74"/>
      <c r="N14" s="962"/>
      <c r="O14" s="965"/>
      <c r="P14" s="962"/>
      <c r="Q14" s="965"/>
      <c r="R14" s="964"/>
      <c r="U14" s="3544"/>
      <c r="V14" s="3544"/>
    </row>
    <row r="15" spans="1:23" ht="13.8" thickBot="1">
      <c r="A15" s="16" t="s">
        <v>31</v>
      </c>
      <c r="B15" s="3204">
        <f t="shared" si="0"/>
        <v>797</v>
      </c>
      <c r="C15" s="3071"/>
      <c r="D15" s="3072">
        <f t="shared" si="0"/>
        <v>809</v>
      </c>
      <c r="E15" s="3071"/>
      <c r="F15" s="3072">
        <f t="shared" ref="F15" si="13">F27+F39+F51+F63+F75+F87+F99+F111+F123+F135+F147+F159+F171+F183+F195+F207</f>
        <v>806</v>
      </c>
      <c r="G15" s="3071"/>
      <c r="H15" s="3072">
        <f t="shared" ref="H15" si="14">H27+H39+H51+H63+H75+H87+H99+H111+H123+H135+H147+H159+H171+H183+H195+H207</f>
        <v>809</v>
      </c>
      <c r="I15" s="3071"/>
      <c r="J15" s="3072">
        <f t="shared" ref="J15" si="15">J27+J39+J51+J63+J75+J87+J99+J111+J123+J135+J147+J159+J171+J183+J195+J207</f>
        <v>778</v>
      </c>
      <c r="K15" s="3071"/>
      <c r="L15" s="3072">
        <f t="shared" ref="L15" si="16">L27+L39+L51+L63+L75+L87+L99+L111+L123+L135+L147+L159+L171+L183+L195+L207</f>
        <v>828</v>
      </c>
      <c r="M15" s="81"/>
      <c r="N15" s="966">
        <f>AVERAGE(B15:F15)</f>
        <v>804</v>
      </c>
      <c r="O15" s="967"/>
      <c r="P15" s="966">
        <f>AVERAGE(H15:L15)</f>
        <v>805</v>
      </c>
      <c r="Q15" s="967"/>
      <c r="R15" s="968">
        <f>P15-N15</f>
        <v>1</v>
      </c>
      <c r="U15" s="3544"/>
      <c r="V15" s="3544"/>
    </row>
    <row r="16" spans="1:23" ht="14.4" thickTop="1" thickBot="1">
      <c r="A16" s="14" t="s">
        <v>32</v>
      </c>
      <c r="B16" s="68">
        <f>SUM(B7:B15)</f>
        <v>32168</v>
      </c>
      <c r="C16" s="70"/>
      <c r="D16" s="69">
        <f>SUM(D7:D15)</f>
        <v>32195</v>
      </c>
      <c r="E16" s="70"/>
      <c r="F16" s="69">
        <f>SUM(F7:F15)</f>
        <v>32640</v>
      </c>
      <c r="G16" s="70"/>
      <c r="H16" s="69">
        <f>SUM(H7:H15)</f>
        <v>33113</v>
      </c>
      <c r="I16" s="70"/>
      <c r="J16" s="69">
        <f>SUM(J7:J15)</f>
        <v>35108</v>
      </c>
      <c r="K16" s="70"/>
      <c r="L16" s="69">
        <f>SUM(L7:L15)</f>
        <v>37965</v>
      </c>
      <c r="M16" s="70"/>
      <c r="N16" s="969">
        <f>SUM(N7:N15)</f>
        <v>32334.333333333332</v>
      </c>
      <c r="O16" s="970"/>
      <c r="P16" s="969">
        <f>SUM(P7:P15)</f>
        <v>35395.333333333328</v>
      </c>
      <c r="Q16" s="970"/>
      <c r="R16" s="971">
        <f>SUM(R7:R15)</f>
        <v>3060.9999999999986</v>
      </c>
      <c r="U16" s="3544"/>
      <c r="V16" s="3544"/>
    </row>
    <row r="17" spans="1:30" ht="13.8" thickBot="1"/>
    <row r="18" spans="1:30" s="861" customFormat="1" ht="27" thickBot="1">
      <c r="A18" s="442" t="s">
        <v>172</v>
      </c>
      <c r="B18" s="868" t="s">
        <v>2</v>
      </c>
      <c r="C18" s="869"/>
      <c r="D18" s="870" t="s">
        <v>3</v>
      </c>
      <c r="E18" s="869"/>
      <c r="F18" s="871" t="s">
        <v>4</v>
      </c>
      <c r="G18" s="869"/>
      <c r="H18" s="867" t="s">
        <v>5</v>
      </c>
      <c r="I18" s="869"/>
      <c r="J18" s="867" t="s">
        <v>6</v>
      </c>
      <c r="K18" s="869"/>
      <c r="L18" s="867" t="s">
        <v>7</v>
      </c>
      <c r="M18" s="869"/>
      <c r="N18" s="959" t="s">
        <v>33</v>
      </c>
      <c r="O18" s="960"/>
      <c r="P18" s="959" t="s">
        <v>34</v>
      </c>
      <c r="Q18" s="960"/>
      <c r="R18" s="961" t="s">
        <v>35</v>
      </c>
      <c r="S18" s="3239"/>
      <c r="T18" s="3245"/>
      <c r="W18" s="3521"/>
    </row>
    <row r="19" spans="1:30" s="860" customFormat="1">
      <c r="A19" s="863" t="s">
        <v>28</v>
      </c>
      <c r="B19" s="875"/>
      <c r="C19" s="876"/>
      <c r="D19" s="877"/>
      <c r="E19" s="876"/>
      <c r="F19" s="877"/>
      <c r="G19" s="876"/>
      <c r="H19" s="877"/>
      <c r="I19" s="876"/>
      <c r="J19" s="877"/>
      <c r="K19" s="876"/>
      <c r="L19" s="877"/>
      <c r="M19" s="876"/>
      <c r="N19" s="962"/>
      <c r="O19" s="963"/>
      <c r="P19" s="962"/>
      <c r="Q19" s="963"/>
      <c r="R19" s="964"/>
      <c r="S19" s="2749"/>
      <c r="T19" s="3244"/>
      <c r="W19" s="3260"/>
    </row>
    <row r="20" spans="1:30" s="860" customFormat="1" ht="13.8" thickBot="1">
      <c r="A20" s="863"/>
      <c r="B20" s="875"/>
      <c r="C20" s="876"/>
      <c r="D20" s="877"/>
      <c r="E20" s="876"/>
      <c r="F20" s="877"/>
      <c r="G20" s="876"/>
      <c r="H20" s="877"/>
      <c r="I20" s="876"/>
      <c r="J20" s="877"/>
      <c r="K20" s="876"/>
      <c r="L20" s="877"/>
      <c r="M20" s="876"/>
      <c r="N20" s="962"/>
      <c r="O20" s="963"/>
      <c r="P20" s="962"/>
      <c r="Q20" s="963"/>
      <c r="R20" s="964"/>
      <c r="S20" s="2749"/>
      <c r="T20" s="3244"/>
      <c r="W20" s="3260"/>
    </row>
    <row r="21" spans="1:30" s="860" customFormat="1">
      <c r="A21" s="863" t="s">
        <v>65</v>
      </c>
      <c r="B21" s="878"/>
      <c r="C21" s="879"/>
      <c r="D21" s="880"/>
      <c r="E21" s="879"/>
      <c r="F21" s="880"/>
      <c r="G21" s="879"/>
      <c r="H21" s="880"/>
      <c r="I21" s="879"/>
      <c r="J21" s="880"/>
      <c r="K21" s="879"/>
      <c r="L21" s="880"/>
      <c r="M21" s="879"/>
      <c r="N21" s="962"/>
      <c r="O21" s="963"/>
      <c r="P21" s="962"/>
      <c r="Q21" s="963"/>
      <c r="R21" s="964"/>
      <c r="S21" s="2749"/>
      <c r="T21" s="4483" t="s">
        <v>365</v>
      </c>
      <c r="U21" s="4484"/>
      <c r="V21" s="4484"/>
      <c r="W21" s="4484"/>
      <c r="X21" s="4484"/>
      <c r="Y21" s="4484"/>
      <c r="Z21" s="4484"/>
      <c r="AA21" s="4484"/>
      <c r="AB21" s="4485"/>
    </row>
    <row r="22" spans="1:30" s="860" customFormat="1" ht="13.8" thickBot="1">
      <c r="A22" s="863"/>
      <c r="B22" s="878"/>
      <c r="C22" s="879"/>
      <c r="D22" s="880"/>
      <c r="E22" s="879"/>
      <c r="F22" s="880"/>
      <c r="G22" s="879"/>
      <c r="H22" s="880"/>
      <c r="I22" s="879"/>
      <c r="J22" s="880"/>
      <c r="K22" s="879"/>
      <c r="L22" s="880"/>
      <c r="M22" s="879"/>
      <c r="N22" s="962"/>
      <c r="O22" s="965"/>
      <c r="P22" s="962"/>
      <c r="Q22" s="965"/>
      <c r="R22" s="964"/>
      <c r="S22" s="2749"/>
      <c r="T22" s="3052">
        <v>2007</v>
      </c>
      <c r="U22" s="3032"/>
      <c r="V22" s="3032">
        <v>2008</v>
      </c>
      <c r="W22" s="3032"/>
      <c r="X22" s="3032">
        <v>2009</v>
      </c>
      <c r="Y22" s="3032"/>
      <c r="Z22" s="3032">
        <v>2010</v>
      </c>
      <c r="AA22" s="3032"/>
      <c r="AB22" s="3545">
        <v>2011</v>
      </c>
    </row>
    <row r="23" spans="1:30" s="860" customFormat="1">
      <c r="A23" s="863" t="s">
        <v>29</v>
      </c>
      <c r="B23" s="953">
        <v>4093</v>
      </c>
      <c r="C23" s="950"/>
      <c r="D23" s="954">
        <v>4069</v>
      </c>
      <c r="E23" s="950"/>
      <c r="F23" s="951">
        <v>3911</v>
      </c>
      <c r="G23" s="950"/>
      <c r="H23" s="954">
        <v>3909</v>
      </c>
      <c r="I23" s="950"/>
      <c r="J23" s="954">
        <v>4234</v>
      </c>
      <c r="K23" s="950"/>
      <c r="L23" s="954">
        <v>4308</v>
      </c>
      <c r="M23" s="879"/>
      <c r="N23" s="962">
        <f>AVERAGE(B23:F23)</f>
        <v>4024.3333333333335</v>
      </c>
      <c r="O23" s="963"/>
      <c r="P23" s="962">
        <f>AVERAGE(H23:L23)</f>
        <v>4150.333333333333</v>
      </c>
      <c r="Q23" s="963"/>
      <c r="R23" s="964">
        <f>P23-N23</f>
        <v>125.99999999999955</v>
      </c>
      <c r="S23" s="2749"/>
      <c r="T23" s="3546">
        <f>D23/'Student Enrollment BRS VIII '!B97</f>
        <v>0.20893345862152185</v>
      </c>
      <c r="U23" s="3547"/>
      <c r="V23" s="3547">
        <f>F23/'Student Enrollment BRS VIII '!D97</f>
        <v>0.20230391624379926</v>
      </c>
      <c r="W23" s="3547"/>
      <c r="X23" s="3547">
        <f>H23/'Student Enrollment BRS VIII '!F97</f>
        <v>0.19684266183246468</v>
      </c>
      <c r="Y23" s="3547"/>
      <c r="Z23" s="3547">
        <f>J23/'Student Enrollment BRS VIII '!H97</f>
        <v>0.20722599085738899</v>
      </c>
      <c r="AA23" s="3547"/>
      <c r="AB23" s="3548">
        <f>L23/'Student Enrollment BRS VIII '!J97</f>
        <v>0.20891425689470391</v>
      </c>
      <c r="AD23" s="3544"/>
    </row>
    <row r="24" spans="1:30" s="860" customFormat="1">
      <c r="A24" s="863"/>
      <c r="B24" s="953"/>
      <c r="C24" s="950"/>
      <c r="D24" s="954"/>
      <c r="E24" s="950"/>
      <c r="F24" s="951"/>
      <c r="G24" s="950"/>
      <c r="H24" s="954"/>
      <c r="I24" s="950"/>
      <c r="J24" s="954"/>
      <c r="K24" s="950"/>
      <c r="L24" s="954"/>
      <c r="M24" s="879"/>
      <c r="N24" s="962"/>
      <c r="O24" s="965"/>
      <c r="P24" s="962"/>
      <c r="Q24" s="965"/>
      <c r="R24" s="964"/>
      <c r="S24" s="2749"/>
      <c r="T24" s="3549"/>
      <c r="U24" s="3550"/>
      <c r="V24" s="3550"/>
      <c r="W24" s="3551"/>
      <c r="X24" s="3550"/>
      <c r="Y24" s="3550"/>
      <c r="Z24" s="3550"/>
      <c r="AA24" s="3550"/>
      <c r="AB24" s="3552"/>
    </row>
    <row r="25" spans="1:30" s="860" customFormat="1">
      <c r="A25" s="863" t="s">
        <v>30</v>
      </c>
      <c r="B25" s="953">
        <v>667</v>
      </c>
      <c r="C25" s="950"/>
      <c r="D25" s="954">
        <v>637</v>
      </c>
      <c r="E25" s="950"/>
      <c r="F25" s="951">
        <v>589</v>
      </c>
      <c r="G25" s="950"/>
      <c r="H25" s="954">
        <v>577</v>
      </c>
      <c r="I25" s="950"/>
      <c r="J25" s="954">
        <v>676</v>
      </c>
      <c r="K25" s="950"/>
      <c r="L25" s="954">
        <v>712</v>
      </c>
      <c r="M25" s="879"/>
      <c r="N25" s="962">
        <f>AVERAGE(B25:F25)</f>
        <v>631</v>
      </c>
      <c r="O25" s="963"/>
      <c r="P25" s="962">
        <f>AVERAGE(H25:L25)</f>
        <v>655</v>
      </c>
      <c r="Q25" s="963"/>
      <c r="R25" s="964">
        <f>P25-N25</f>
        <v>24</v>
      </c>
      <c r="S25" s="2749"/>
      <c r="T25" s="3546">
        <f>(D25+D27)/('Student Enrollment BRS VIII '!B101+'Student Enrollment BRS VIII '!B105)</f>
        <v>0.35814872420026062</v>
      </c>
      <c r="U25" s="3547"/>
      <c r="V25" s="3547">
        <f>(F25+F27)/('Student Enrollment BRS VIII '!D101+'Student Enrollment BRS VIII '!D105)</f>
        <v>0.35273446079508014</v>
      </c>
      <c r="W25" s="3547"/>
      <c r="X25" s="3547">
        <f>(H25+H27)/('Student Enrollment BRS VIII '!F101+'Student Enrollment BRS VIII '!F105)</f>
        <v>0.34961417424666985</v>
      </c>
      <c r="Y25" s="3547"/>
      <c r="Z25" s="3547">
        <f>(J25+J27)/('Student Enrollment BRS VIII '!H101+'Student Enrollment BRS VIII '!H105)</f>
        <v>0.36454400536957798</v>
      </c>
      <c r="AA25" s="3547"/>
      <c r="AB25" s="3548">
        <f>(L25+L27)/('Student Enrollment BRS VIII '!J101+'Student Enrollment BRS VIII '!J105)</f>
        <v>0.39644796094440471</v>
      </c>
    </row>
    <row r="26" spans="1:30" s="860" customFormat="1">
      <c r="A26" s="863"/>
      <c r="B26" s="953"/>
      <c r="C26" s="950"/>
      <c r="D26" s="954"/>
      <c r="E26" s="950"/>
      <c r="F26" s="951"/>
      <c r="G26" s="950"/>
      <c r="H26" s="954"/>
      <c r="I26" s="950"/>
      <c r="J26" s="954"/>
      <c r="K26" s="950"/>
      <c r="L26" s="954"/>
      <c r="M26" s="879"/>
      <c r="N26" s="962"/>
      <c r="O26" s="965"/>
      <c r="P26" s="962"/>
      <c r="Q26" s="965"/>
      <c r="R26" s="964"/>
      <c r="S26" s="2749"/>
      <c r="T26" s="3549"/>
      <c r="U26" s="3550"/>
      <c r="V26" s="3550"/>
      <c r="W26" s="3551"/>
      <c r="X26" s="3550"/>
      <c r="Y26" s="3550"/>
      <c r="Z26" s="3550"/>
      <c r="AA26" s="3550"/>
      <c r="AB26" s="3552"/>
    </row>
    <row r="27" spans="1:30" s="860" customFormat="1" ht="13.8" thickBot="1">
      <c r="A27" s="864" t="s">
        <v>31</v>
      </c>
      <c r="B27" s="955">
        <v>229</v>
      </c>
      <c r="C27" s="952"/>
      <c r="D27" s="956">
        <v>215</v>
      </c>
      <c r="E27" s="952"/>
      <c r="F27" s="956">
        <v>214</v>
      </c>
      <c r="G27" s="952"/>
      <c r="H27" s="956">
        <v>234</v>
      </c>
      <c r="I27" s="952"/>
      <c r="J27" s="956">
        <v>193</v>
      </c>
      <c r="K27" s="952"/>
      <c r="L27" s="956">
        <v>230</v>
      </c>
      <c r="M27" s="881"/>
      <c r="N27" s="966">
        <f>AVERAGE(B27:F27)</f>
        <v>219.33333333333334</v>
      </c>
      <c r="O27" s="967"/>
      <c r="P27" s="966">
        <f>AVERAGE(H27:L27)</f>
        <v>219</v>
      </c>
      <c r="Q27" s="967"/>
      <c r="R27" s="968">
        <f>P27-N27</f>
        <v>-0.33333333333334281</v>
      </c>
      <c r="S27" s="2749"/>
      <c r="T27" s="3556"/>
      <c r="U27" s="3557"/>
      <c r="V27" s="3558"/>
      <c r="W27" s="3559"/>
      <c r="X27" s="3558"/>
      <c r="Y27" s="3557"/>
      <c r="Z27" s="3558"/>
      <c r="AA27" s="3557"/>
      <c r="AB27" s="3560"/>
    </row>
    <row r="28" spans="1:30" s="860" customFormat="1" ht="14.4" thickTop="1" thickBot="1">
      <c r="A28" s="862" t="s">
        <v>32</v>
      </c>
      <c r="B28" s="872">
        <f>SUM(B19:B27)</f>
        <v>4989</v>
      </c>
      <c r="C28" s="874"/>
      <c r="D28" s="873">
        <f>SUM(D19:D27)</f>
        <v>4921</v>
      </c>
      <c r="E28" s="874"/>
      <c r="F28" s="873">
        <f>SUM(F19:F27)</f>
        <v>4714</v>
      </c>
      <c r="G28" s="874"/>
      <c r="H28" s="873">
        <f>SUM(H19:H27)</f>
        <v>4720</v>
      </c>
      <c r="I28" s="874"/>
      <c r="J28" s="873">
        <f>SUM(J19:J27)</f>
        <v>5103</v>
      </c>
      <c r="K28" s="874"/>
      <c r="L28" s="873">
        <f>SUM(L19:L27)</f>
        <v>5250</v>
      </c>
      <c r="M28" s="874"/>
      <c r="N28" s="969">
        <f>AVERAGE(B28:F28)</f>
        <v>4874.666666666667</v>
      </c>
      <c r="O28" s="970"/>
      <c r="P28" s="969">
        <f>AVERAGE(H28:L28)</f>
        <v>5024.333333333333</v>
      </c>
      <c r="Q28" s="970"/>
      <c r="R28" s="971">
        <f>P28-N28</f>
        <v>149.66666666666606</v>
      </c>
      <c r="S28" s="2749"/>
      <c r="T28" s="3553">
        <f>D28/('Student Enrollment BRS VIII '!D97+'Student Enrollment BRS VIII '!D101+'Student Enrollment BRS VIII '!D105)</f>
        <v>0.22773129465773204</v>
      </c>
      <c r="U28" s="3554"/>
      <c r="V28" s="3554">
        <f>F28/('Student Enrollment BRS VIII '!F97+'Student Enrollment BRS VIII '!F101+'Student Enrollment BRS VIII '!F105)</f>
        <v>0.21255106365710472</v>
      </c>
      <c r="W28" s="3554"/>
      <c r="X28" s="3554">
        <f>H28/('Student Enrollment BRS VIII '!H97+'Student Enrollment BRS VIII '!H101+'Student Enrollment BRS VIII '!H105)</f>
        <v>0.20687599712477428</v>
      </c>
      <c r="Y28" s="3554"/>
      <c r="Z28" s="3554">
        <f>J28/('Student Enrollment BRS VIII '!J97+'Student Enrollment BRS VIII '!J101+'Student Enrollment BRS VIII '!J105)</f>
        <v>0.22189850850110882</v>
      </c>
      <c r="AA28" s="3554"/>
      <c r="AB28" s="3555">
        <f>L28/('Student Enrollment BRS VIII '!L97+'Student Enrollment BRS VIII '!L101+'Student Enrollment BRS VIII '!L105)</f>
        <v>0.22689868822305051</v>
      </c>
    </row>
    <row r="29" spans="1:30" s="928" customFormat="1" ht="13.8" thickBot="1">
      <c r="A29" s="931"/>
      <c r="F29" s="929"/>
      <c r="N29" s="957"/>
      <c r="O29" s="957"/>
      <c r="P29" s="957"/>
      <c r="Q29" s="957"/>
      <c r="R29" s="957"/>
      <c r="S29" s="2749"/>
      <c r="T29" s="3244"/>
      <c r="W29" s="3260"/>
    </row>
    <row r="30" spans="1:30" s="930" customFormat="1" ht="27" thickBot="1">
      <c r="A30" s="442" t="s">
        <v>174</v>
      </c>
      <c r="B30" s="936" t="s">
        <v>2</v>
      </c>
      <c r="C30" s="937"/>
      <c r="D30" s="938" t="s">
        <v>3</v>
      </c>
      <c r="E30" s="937"/>
      <c r="F30" s="939" t="s">
        <v>4</v>
      </c>
      <c r="G30" s="937"/>
      <c r="H30" s="935" t="s">
        <v>5</v>
      </c>
      <c r="I30" s="937"/>
      <c r="J30" s="935" t="s">
        <v>6</v>
      </c>
      <c r="K30" s="937"/>
      <c r="L30" s="935" t="s">
        <v>7</v>
      </c>
      <c r="M30" s="937"/>
      <c r="N30" s="959" t="s">
        <v>33</v>
      </c>
      <c r="O30" s="960"/>
      <c r="P30" s="959" t="s">
        <v>34</v>
      </c>
      <c r="Q30" s="960"/>
      <c r="R30" s="961" t="s">
        <v>35</v>
      </c>
      <c r="S30" s="3239"/>
      <c r="T30" s="3245"/>
      <c r="W30" s="3521"/>
    </row>
    <row r="31" spans="1:30" s="928" customFormat="1">
      <c r="A31" s="933" t="s">
        <v>28</v>
      </c>
      <c r="B31" s="943"/>
      <c r="C31" s="944"/>
      <c r="D31" s="945"/>
      <c r="E31" s="944"/>
      <c r="F31" s="945"/>
      <c r="G31" s="944"/>
      <c r="H31" s="945"/>
      <c r="I31" s="944"/>
      <c r="J31" s="945"/>
      <c r="K31" s="944"/>
      <c r="L31" s="945"/>
      <c r="M31" s="944"/>
      <c r="N31" s="962"/>
      <c r="O31" s="963"/>
      <c r="P31" s="962"/>
      <c r="Q31" s="963"/>
      <c r="R31" s="964"/>
      <c r="S31" s="2749"/>
      <c r="T31" s="3244"/>
      <c r="W31" s="3260"/>
    </row>
    <row r="32" spans="1:30" s="928" customFormat="1" ht="13.8" thickBot="1">
      <c r="A32" s="933"/>
      <c r="B32" s="943"/>
      <c r="C32" s="944"/>
      <c r="D32" s="945"/>
      <c r="E32" s="944"/>
      <c r="F32" s="945"/>
      <c r="G32" s="944"/>
      <c r="H32" s="945"/>
      <c r="I32" s="944"/>
      <c r="J32" s="945"/>
      <c r="K32" s="944"/>
      <c r="L32" s="945"/>
      <c r="M32" s="944"/>
      <c r="N32" s="962"/>
      <c r="O32" s="963"/>
      <c r="P32" s="962"/>
      <c r="Q32" s="963"/>
      <c r="R32" s="964"/>
      <c r="S32" s="2749"/>
      <c r="T32" s="3244"/>
      <c r="W32" s="3260"/>
    </row>
    <row r="33" spans="1:30" s="928" customFormat="1">
      <c r="A33" s="933" t="s">
        <v>65</v>
      </c>
      <c r="B33" s="946"/>
      <c r="C33" s="947"/>
      <c r="D33" s="948"/>
      <c r="E33" s="947"/>
      <c r="F33" s="948"/>
      <c r="G33" s="947"/>
      <c r="H33" s="948"/>
      <c r="I33" s="947"/>
      <c r="J33" s="948"/>
      <c r="K33" s="947"/>
      <c r="L33" s="948"/>
      <c r="M33" s="947"/>
      <c r="N33" s="962"/>
      <c r="O33" s="963"/>
      <c r="P33" s="962"/>
      <c r="Q33" s="963"/>
      <c r="R33" s="964"/>
      <c r="S33" s="2749"/>
      <c r="T33" s="4483" t="s">
        <v>365</v>
      </c>
      <c r="U33" s="4484"/>
      <c r="V33" s="4484"/>
      <c r="W33" s="4484"/>
      <c r="X33" s="4484"/>
      <c r="Y33" s="4484"/>
      <c r="Z33" s="4484"/>
      <c r="AA33" s="4484"/>
      <c r="AB33" s="4485"/>
    </row>
    <row r="34" spans="1:30" s="928" customFormat="1" ht="13.8" thickBot="1">
      <c r="A34" s="933"/>
      <c r="B34" s="946"/>
      <c r="C34" s="947"/>
      <c r="D34" s="948"/>
      <c r="E34" s="947"/>
      <c r="F34" s="948"/>
      <c r="G34" s="947"/>
      <c r="H34" s="948"/>
      <c r="I34" s="947"/>
      <c r="J34" s="948"/>
      <c r="K34" s="947"/>
      <c r="L34" s="948"/>
      <c r="M34" s="947"/>
      <c r="N34" s="962"/>
      <c r="O34" s="965"/>
      <c r="P34" s="962"/>
      <c r="Q34" s="965"/>
      <c r="R34" s="964"/>
      <c r="S34" s="2749"/>
      <c r="T34" s="3052">
        <v>2007</v>
      </c>
      <c r="U34" s="3032"/>
      <c r="V34" s="3032">
        <v>2008</v>
      </c>
      <c r="W34" s="3032"/>
      <c r="X34" s="3032">
        <v>2009</v>
      </c>
      <c r="Y34" s="3032"/>
      <c r="Z34" s="3032">
        <v>2010</v>
      </c>
      <c r="AA34" s="3032"/>
      <c r="AB34" s="3545">
        <v>2011</v>
      </c>
    </row>
    <row r="35" spans="1:30" s="928" customFormat="1">
      <c r="A35" s="933" t="s">
        <v>29</v>
      </c>
      <c r="B35" s="994">
        <v>173</v>
      </c>
      <c r="C35" s="995"/>
      <c r="D35" s="996">
        <v>206</v>
      </c>
      <c r="E35" s="995"/>
      <c r="F35" s="996">
        <v>182</v>
      </c>
      <c r="G35" s="995"/>
      <c r="H35" s="996">
        <v>198</v>
      </c>
      <c r="I35" s="995"/>
      <c r="J35" s="996">
        <v>250</v>
      </c>
      <c r="K35" s="995"/>
      <c r="L35" s="996">
        <v>264</v>
      </c>
      <c r="M35" s="947"/>
      <c r="N35" s="962">
        <f>AVERAGE(B35:F35)</f>
        <v>187</v>
      </c>
      <c r="O35" s="963"/>
      <c r="P35" s="962">
        <f>AVERAGE(H35:L35)</f>
        <v>237.33333333333334</v>
      </c>
      <c r="Q35" s="963"/>
      <c r="R35" s="964">
        <f>P35-N35</f>
        <v>50.333333333333343</v>
      </c>
      <c r="S35" s="2749"/>
      <c r="T35" s="3546">
        <f>D35/'Student Enrollment BRS VIII '!B133</f>
        <v>0.15001456452082726</v>
      </c>
      <c r="U35" s="3547"/>
      <c r="V35" s="3547">
        <f>F35/'Student Enrollment BRS VIII '!D133</f>
        <v>0.13009292351679771</v>
      </c>
      <c r="W35" s="3547"/>
      <c r="X35" s="3547">
        <f>H35/'Student Enrollment BRS VIII '!F133</f>
        <v>0.12900703674745895</v>
      </c>
      <c r="Y35" s="3547"/>
      <c r="Z35" s="3547">
        <f>J35/'Student Enrollment BRS VIII '!H133</f>
        <v>0.14015809833492179</v>
      </c>
      <c r="AA35" s="3547"/>
      <c r="AB35" s="3548">
        <f>L35/'Student Enrollment BRS VIII '!J133</f>
        <v>0.13556536921022902</v>
      </c>
      <c r="AD35" s="3544"/>
    </row>
    <row r="36" spans="1:30" s="928" customFormat="1">
      <c r="A36" s="933"/>
      <c r="B36" s="994"/>
      <c r="C36" s="995"/>
      <c r="D36" s="996"/>
      <c r="E36" s="995"/>
      <c r="F36" s="996"/>
      <c r="G36" s="995"/>
      <c r="H36" s="996"/>
      <c r="I36" s="995"/>
      <c r="J36" s="996"/>
      <c r="K36" s="995"/>
      <c r="L36" s="996"/>
      <c r="M36" s="947"/>
      <c r="N36" s="962"/>
      <c r="O36" s="965"/>
      <c r="P36" s="962"/>
      <c r="Q36" s="965"/>
      <c r="R36" s="964"/>
      <c r="S36" s="2749"/>
      <c r="T36" s="3549"/>
      <c r="U36" s="3550"/>
      <c r="V36" s="3550"/>
      <c r="W36" s="3551"/>
      <c r="X36" s="3550"/>
      <c r="Y36" s="3550"/>
      <c r="Z36" s="3550"/>
      <c r="AA36" s="3550"/>
      <c r="AB36" s="3552"/>
    </row>
    <row r="37" spans="1:30" s="928" customFormat="1">
      <c r="A37" s="933" t="s">
        <v>30</v>
      </c>
      <c r="B37" s="994">
        <v>0</v>
      </c>
      <c r="C37" s="995"/>
      <c r="D37" s="996">
        <v>0</v>
      </c>
      <c r="E37" s="995"/>
      <c r="F37" s="996">
        <v>0</v>
      </c>
      <c r="G37" s="995"/>
      <c r="H37" s="996">
        <v>5</v>
      </c>
      <c r="I37" s="995"/>
      <c r="J37" s="996">
        <v>4</v>
      </c>
      <c r="K37" s="995"/>
      <c r="L37" s="996">
        <v>27</v>
      </c>
      <c r="M37" s="947"/>
      <c r="N37" s="962">
        <f>AVERAGE(B37:F37)</f>
        <v>0</v>
      </c>
      <c r="O37" s="963"/>
      <c r="P37" s="962">
        <f>AVERAGE(H37:L37)</f>
        <v>12</v>
      </c>
      <c r="Q37" s="963"/>
      <c r="R37" s="964">
        <f>P37-N37</f>
        <v>12</v>
      </c>
      <c r="S37" s="2749"/>
      <c r="T37" s="3546">
        <f>D37/'Student Enrollment BRS VIII '!B137</f>
        <v>0</v>
      </c>
      <c r="U37" s="3547"/>
      <c r="V37" s="3547">
        <f>F37/'Student Enrollment BRS VIII '!D137</f>
        <v>0</v>
      </c>
      <c r="W37" s="3547"/>
      <c r="X37" s="3547">
        <f>H37/'Student Enrollment BRS VIII '!F137</f>
        <v>8.6206896551724144E-2</v>
      </c>
      <c r="Y37" s="3547"/>
      <c r="Z37" s="3547">
        <f>J37/'Student Enrollment BRS VIII '!H137</f>
        <v>6.25E-2</v>
      </c>
      <c r="AA37" s="3547"/>
      <c r="AB37" s="3548">
        <f>L37/'Student Enrollment BRS VIII '!J137</f>
        <v>0.51330798479087447</v>
      </c>
    </row>
    <row r="38" spans="1:30" s="928" customFormat="1">
      <c r="A38" s="933"/>
      <c r="B38" s="994"/>
      <c r="C38" s="995"/>
      <c r="D38" s="996"/>
      <c r="E38" s="995"/>
      <c r="F38" s="996"/>
      <c r="G38" s="995"/>
      <c r="H38" s="996"/>
      <c r="I38" s="995"/>
      <c r="J38" s="996"/>
      <c r="K38" s="995"/>
      <c r="L38" s="996"/>
      <c r="M38" s="947"/>
      <c r="N38" s="962"/>
      <c r="O38" s="965"/>
      <c r="P38" s="962"/>
      <c r="Q38" s="965"/>
      <c r="R38" s="964"/>
      <c r="S38" s="2749"/>
      <c r="T38" s="3549"/>
      <c r="U38" s="3550"/>
      <c r="V38" s="3550"/>
      <c r="W38" s="3551"/>
      <c r="X38" s="3550"/>
      <c r="Y38" s="3550"/>
      <c r="Z38" s="3550"/>
      <c r="AA38" s="3550"/>
      <c r="AB38" s="3552"/>
    </row>
    <row r="39" spans="1:30" s="928" customFormat="1" ht="13.8" thickBot="1">
      <c r="A39" s="934" t="s">
        <v>31</v>
      </c>
      <c r="B39" s="998">
        <v>0</v>
      </c>
      <c r="C39" s="997"/>
      <c r="D39" s="999">
        <v>0</v>
      </c>
      <c r="E39" s="997"/>
      <c r="F39" s="999">
        <v>0</v>
      </c>
      <c r="G39" s="997"/>
      <c r="H39" s="999">
        <v>0</v>
      </c>
      <c r="I39" s="997"/>
      <c r="J39" s="999">
        <v>0</v>
      </c>
      <c r="K39" s="997"/>
      <c r="L39" s="999">
        <v>0</v>
      </c>
      <c r="M39" s="949"/>
      <c r="N39" s="966">
        <f>AVERAGE(B39:F39)</f>
        <v>0</v>
      </c>
      <c r="O39" s="967"/>
      <c r="P39" s="966">
        <f>AVERAGE(H39:L39)</f>
        <v>0</v>
      </c>
      <c r="Q39" s="967"/>
      <c r="R39" s="968">
        <f>P39-N39</f>
        <v>0</v>
      </c>
      <c r="S39" s="2749"/>
      <c r="T39" s="3556"/>
      <c r="U39" s="3557"/>
      <c r="V39" s="3558"/>
      <c r="W39" s="3559"/>
      <c r="X39" s="3558"/>
      <c r="Y39" s="3557"/>
      <c r="Z39" s="3558"/>
      <c r="AA39" s="3557"/>
      <c r="AB39" s="3560"/>
    </row>
    <row r="40" spans="1:30" s="928" customFormat="1" ht="14.4" thickTop="1" thickBot="1">
      <c r="A40" s="932" t="s">
        <v>32</v>
      </c>
      <c r="B40" s="940">
        <f>SUM(B31:B39)</f>
        <v>173</v>
      </c>
      <c r="C40" s="942"/>
      <c r="D40" s="941">
        <f>SUM(D31:D39)</f>
        <v>206</v>
      </c>
      <c r="E40" s="942"/>
      <c r="F40" s="941">
        <f>SUM(F31:F39)</f>
        <v>182</v>
      </c>
      <c r="G40" s="942"/>
      <c r="H40" s="941">
        <f>SUM(H31:H39)</f>
        <v>203</v>
      </c>
      <c r="I40" s="942"/>
      <c r="J40" s="941">
        <f>SUM(J31:J39)</f>
        <v>254</v>
      </c>
      <c r="K40" s="942"/>
      <c r="L40" s="941">
        <f>SUM(L31:L39)</f>
        <v>291</v>
      </c>
      <c r="M40" s="942"/>
      <c r="N40" s="969">
        <f>AVERAGE(B40:F40)</f>
        <v>187</v>
      </c>
      <c r="O40" s="970"/>
      <c r="P40" s="969">
        <f>AVERAGE(H40:L40)</f>
        <v>249.33333333333334</v>
      </c>
      <c r="Q40" s="970"/>
      <c r="R40" s="971">
        <f>P40-N40</f>
        <v>62.333333333333343</v>
      </c>
      <c r="S40" s="3543"/>
      <c r="T40" s="3553">
        <f>D40/('Student Enrollment BRS VIII '!B133+'Student Enrollment BRS VIII '!B137)</f>
        <v>0.14634839443023584</v>
      </c>
      <c r="U40" s="3554"/>
      <c r="V40" s="3554">
        <f>F40/('Student Enrollment BRS VIII '!D133+'Student Enrollment BRS VIII '!D137)</f>
        <v>0.12721934852509437</v>
      </c>
      <c r="W40" s="3554"/>
      <c r="X40" s="3554">
        <f>H40/('Student Enrollment BRS VIII '!F133+'Student Enrollment BRS VIII '!F137)</f>
        <v>0.12744851833249624</v>
      </c>
      <c r="Y40" s="3554"/>
      <c r="Z40" s="3554">
        <f>J40/('Student Enrollment BRS VIII '!H133+'Student Enrollment BRS VIII '!H137)</f>
        <v>0.13746820371272392</v>
      </c>
      <c r="AA40" s="3554"/>
      <c r="AB40" s="3555">
        <f>L40/('Student Enrollment BRS VIII '!J133+'Student Enrollment BRS VIII '!J137)</f>
        <v>0.14549999999999999</v>
      </c>
    </row>
    <row r="41" spans="1:30" s="972" customFormat="1" ht="13.8" thickBot="1">
      <c r="A41" s="975"/>
      <c r="F41" s="973"/>
      <c r="N41" s="957"/>
      <c r="O41" s="957"/>
      <c r="P41" s="957"/>
      <c r="Q41" s="957"/>
      <c r="R41" s="957"/>
      <c r="S41" s="2749"/>
      <c r="T41" s="3244"/>
      <c r="W41" s="3260"/>
    </row>
    <row r="42" spans="1:30" s="974" customFormat="1" ht="27" thickBot="1">
      <c r="A42" s="442" t="s">
        <v>175</v>
      </c>
      <c r="B42" s="980" t="s">
        <v>2</v>
      </c>
      <c r="C42" s="981"/>
      <c r="D42" s="982" t="s">
        <v>3</v>
      </c>
      <c r="E42" s="981"/>
      <c r="F42" s="983" t="s">
        <v>4</v>
      </c>
      <c r="G42" s="981"/>
      <c r="H42" s="979" t="s">
        <v>5</v>
      </c>
      <c r="I42" s="981"/>
      <c r="J42" s="979" t="s">
        <v>6</v>
      </c>
      <c r="K42" s="981"/>
      <c r="L42" s="979" t="s">
        <v>7</v>
      </c>
      <c r="M42" s="981"/>
      <c r="N42" s="959" t="s">
        <v>33</v>
      </c>
      <c r="O42" s="960"/>
      <c r="P42" s="959" t="s">
        <v>34</v>
      </c>
      <c r="Q42" s="960"/>
      <c r="R42" s="961" t="s">
        <v>35</v>
      </c>
      <c r="S42" s="3239"/>
      <c r="T42" s="3245"/>
      <c r="W42" s="3521"/>
    </row>
    <row r="43" spans="1:30" s="972" customFormat="1">
      <c r="A43" s="977" t="s">
        <v>28</v>
      </c>
      <c r="B43" s="987"/>
      <c r="C43" s="988"/>
      <c r="D43" s="989"/>
      <c r="E43" s="988"/>
      <c r="F43" s="989"/>
      <c r="G43" s="988"/>
      <c r="H43" s="989"/>
      <c r="I43" s="988"/>
      <c r="J43" s="989"/>
      <c r="K43" s="988"/>
      <c r="L43" s="989"/>
      <c r="M43" s="988"/>
      <c r="N43" s="962"/>
      <c r="O43" s="963"/>
      <c r="P43" s="962"/>
      <c r="Q43" s="963"/>
      <c r="R43" s="964"/>
      <c r="S43" s="2749"/>
      <c r="T43" s="3244"/>
      <c r="W43" s="3260"/>
    </row>
    <row r="44" spans="1:30" s="972" customFormat="1" ht="13.8" thickBot="1">
      <c r="A44" s="977"/>
      <c r="B44" s="987"/>
      <c r="C44" s="988"/>
      <c r="D44" s="989"/>
      <c r="E44" s="988"/>
      <c r="F44" s="989"/>
      <c r="G44" s="988"/>
      <c r="H44" s="989"/>
      <c r="I44" s="988"/>
      <c r="J44" s="989"/>
      <c r="K44" s="988"/>
      <c r="L44" s="989"/>
      <c r="M44" s="988"/>
      <c r="N44" s="962"/>
      <c r="O44" s="963"/>
      <c r="P44" s="962"/>
      <c r="Q44" s="963"/>
      <c r="R44" s="964"/>
      <c r="S44" s="2749"/>
      <c r="T44" s="3244"/>
      <c r="W44" s="3260"/>
    </row>
    <row r="45" spans="1:30" s="972" customFormat="1">
      <c r="A45" s="977" t="s">
        <v>65</v>
      </c>
      <c r="B45" s="990"/>
      <c r="C45" s="991"/>
      <c r="D45" s="992"/>
      <c r="E45" s="991"/>
      <c r="F45" s="992"/>
      <c r="G45" s="991"/>
      <c r="H45" s="992"/>
      <c r="I45" s="991"/>
      <c r="J45" s="992"/>
      <c r="K45" s="991"/>
      <c r="L45" s="992"/>
      <c r="M45" s="991"/>
      <c r="N45" s="962"/>
      <c r="O45" s="963"/>
      <c r="P45" s="962"/>
      <c r="Q45" s="963"/>
      <c r="R45" s="964"/>
      <c r="S45" s="2749"/>
      <c r="T45" s="4483" t="s">
        <v>365</v>
      </c>
      <c r="U45" s="4484"/>
      <c r="V45" s="4484"/>
      <c r="W45" s="4484"/>
      <c r="X45" s="4484"/>
      <c r="Y45" s="4484"/>
      <c r="Z45" s="4484"/>
      <c r="AA45" s="4484"/>
      <c r="AB45" s="4485"/>
    </row>
    <row r="46" spans="1:30" s="972" customFormat="1" ht="13.8" thickBot="1">
      <c r="A46" s="977"/>
      <c r="B46" s="990"/>
      <c r="C46" s="991"/>
      <c r="D46" s="992"/>
      <c r="E46" s="991"/>
      <c r="F46" s="992"/>
      <c r="G46" s="991"/>
      <c r="H46" s="992"/>
      <c r="I46" s="991"/>
      <c r="J46" s="992"/>
      <c r="K46" s="991"/>
      <c r="L46" s="992"/>
      <c r="M46" s="991"/>
      <c r="N46" s="962"/>
      <c r="O46" s="965"/>
      <c r="P46" s="962"/>
      <c r="Q46" s="965"/>
      <c r="R46" s="964"/>
      <c r="S46" s="2749"/>
      <c r="T46" s="3052">
        <v>2007</v>
      </c>
      <c r="U46" s="3032"/>
      <c r="V46" s="3032">
        <v>2008</v>
      </c>
      <c r="W46" s="3032"/>
      <c r="X46" s="3032">
        <v>2009</v>
      </c>
      <c r="Y46" s="3032"/>
      <c r="Z46" s="3032">
        <v>2010</v>
      </c>
      <c r="AA46" s="3032"/>
      <c r="AB46" s="3545">
        <v>2011</v>
      </c>
    </row>
    <row r="47" spans="1:30" s="972" customFormat="1">
      <c r="A47" s="977" t="s">
        <v>29</v>
      </c>
      <c r="B47" s="1022">
        <v>256</v>
      </c>
      <c r="C47" s="1023"/>
      <c r="D47" s="1024">
        <v>263</v>
      </c>
      <c r="E47" s="1023"/>
      <c r="F47" s="1024">
        <v>282</v>
      </c>
      <c r="G47" s="1023"/>
      <c r="H47" s="1024">
        <v>325</v>
      </c>
      <c r="I47" s="1023"/>
      <c r="J47" s="1024">
        <v>321</v>
      </c>
      <c r="K47" s="1023"/>
      <c r="L47" s="1024">
        <v>386</v>
      </c>
      <c r="M47" s="991"/>
      <c r="N47" s="962">
        <f>AVERAGE(B47:F47)</f>
        <v>267</v>
      </c>
      <c r="O47" s="963"/>
      <c r="P47" s="962">
        <f>AVERAGE(H47:L47)</f>
        <v>344</v>
      </c>
      <c r="Q47" s="963"/>
      <c r="R47" s="964">
        <f>P47-N47</f>
        <v>77</v>
      </c>
      <c r="S47" s="2749"/>
      <c r="T47" s="3546">
        <f>D47/'Student Enrollment BRS VIII '!B169</f>
        <v>0.14107171592554846</v>
      </c>
      <c r="U47" s="3547"/>
      <c r="V47" s="3547">
        <f>F47/'Student Enrollment BRS VIII '!D169</f>
        <v>0.15230893869835269</v>
      </c>
      <c r="W47" s="3547"/>
      <c r="X47" s="3547">
        <f>H47/'Student Enrollment BRS VIII '!F169</f>
        <v>0.18342928095721867</v>
      </c>
      <c r="Y47" s="3547"/>
      <c r="Z47" s="3547">
        <f>J47/'Student Enrollment BRS VIII '!H169</f>
        <v>0.16009176599670841</v>
      </c>
      <c r="AA47" s="3547"/>
      <c r="AB47" s="3548">
        <f>L47/'Student Enrollment BRS VIII '!J169</f>
        <v>0.18555908085760986</v>
      </c>
    </row>
    <row r="48" spans="1:30" s="972" customFormat="1">
      <c r="A48" s="977"/>
      <c r="B48" s="1022"/>
      <c r="C48" s="1023"/>
      <c r="D48" s="1024"/>
      <c r="E48" s="1023"/>
      <c r="F48" s="1024"/>
      <c r="G48" s="1023"/>
      <c r="H48" s="1024"/>
      <c r="I48" s="1023"/>
      <c r="J48" s="1024"/>
      <c r="K48" s="1023"/>
      <c r="L48" s="1024"/>
      <c r="M48" s="991"/>
      <c r="N48" s="962"/>
      <c r="O48" s="965"/>
      <c r="P48" s="962"/>
      <c r="Q48" s="965"/>
      <c r="R48" s="964"/>
      <c r="S48" s="2749"/>
      <c r="T48" s="3549"/>
      <c r="U48" s="3550"/>
      <c r="V48" s="3550"/>
      <c r="W48" s="3551"/>
      <c r="X48" s="3550"/>
      <c r="Y48" s="3550"/>
      <c r="Z48" s="3550"/>
      <c r="AA48" s="3550"/>
      <c r="AB48" s="3552"/>
    </row>
    <row r="49" spans="1:28" s="972" customFormat="1">
      <c r="A49" s="977" t="s">
        <v>30</v>
      </c>
      <c r="B49" s="1022">
        <v>26</v>
      </c>
      <c r="C49" s="1023"/>
      <c r="D49" s="1024">
        <v>30</v>
      </c>
      <c r="E49" s="1023"/>
      <c r="F49" s="1024">
        <v>30</v>
      </c>
      <c r="G49" s="1023"/>
      <c r="H49" s="1024">
        <v>33</v>
      </c>
      <c r="I49" s="1023"/>
      <c r="J49" s="1024">
        <v>33</v>
      </c>
      <c r="K49" s="1023"/>
      <c r="L49" s="1024">
        <v>55</v>
      </c>
      <c r="M49" s="991"/>
      <c r="N49" s="962">
        <f>AVERAGE(B49:F49)</f>
        <v>28.666666666666668</v>
      </c>
      <c r="O49" s="963"/>
      <c r="P49" s="962">
        <f>AVERAGE(H49:L49)</f>
        <v>40.333333333333336</v>
      </c>
      <c r="Q49" s="963"/>
      <c r="R49" s="964">
        <f>P49-N49</f>
        <v>11.666666666666668</v>
      </c>
      <c r="S49" s="2749"/>
      <c r="T49" s="3546">
        <f>D49/'Student Enrollment BRS VIII '!B173</f>
        <v>0.36275695284159609</v>
      </c>
      <c r="U49" s="3547"/>
      <c r="V49" s="3547">
        <f>F49/'Student Enrollment BRS VIII '!D173</f>
        <v>0.29910269192422734</v>
      </c>
      <c r="W49" s="3547"/>
      <c r="X49" s="3547">
        <f>H49/'Student Enrollment BRS VIII '!F173</f>
        <v>0.29729729729729731</v>
      </c>
      <c r="Y49" s="3547"/>
      <c r="Z49" s="3547">
        <f>J49/'Student Enrollment BRS VIII '!H173</f>
        <v>0.29972752043596734</v>
      </c>
      <c r="AA49" s="3547"/>
      <c r="AB49" s="3548">
        <f>L49/'Student Enrollment BRS VIII '!J173</f>
        <v>0.6186726659167604</v>
      </c>
    </row>
    <row r="50" spans="1:28" s="972" customFormat="1">
      <c r="A50" s="977"/>
      <c r="B50" s="1022"/>
      <c r="C50" s="1023"/>
      <c r="D50" s="1024"/>
      <c r="E50" s="1023"/>
      <c r="F50" s="1024"/>
      <c r="G50" s="1023"/>
      <c r="H50" s="1024"/>
      <c r="I50" s="1023"/>
      <c r="J50" s="1024"/>
      <c r="K50" s="1023"/>
      <c r="L50" s="1024"/>
      <c r="M50" s="991"/>
      <c r="N50" s="962"/>
      <c r="O50" s="965"/>
      <c r="P50" s="962"/>
      <c r="Q50" s="965"/>
      <c r="R50" s="964"/>
      <c r="S50" s="2749"/>
      <c r="T50" s="3549"/>
      <c r="U50" s="3550"/>
      <c r="V50" s="3550"/>
      <c r="W50" s="3551"/>
      <c r="X50" s="3550"/>
      <c r="Y50" s="3550"/>
      <c r="Z50" s="3550"/>
      <c r="AA50" s="3550"/>
      <c r="AB50" s="3552"/>
    </row>
    <row r="51" spans="1:28" s="972" customFormat="1" ht="13.8" thickBot="1">
      <c r="A51" s="978" t="s">
        <v>31</v>
      </c>
      <c r="B51" s="1026">
        <v>0</v>
      </c>
      <c r="C51" s="1025"/>
      <c r="D51" s="1027">
        <v>0</v>
      </c>
      <c r="E51" s="1025"/>
      <c r="F51" s="1027">
        <v>0</v>
      </c>
      <c r="G51" s="1025"/>
      <c r="H51" s="1027">
        <v>0</v>
      </c>
      <c r="I51" s="1025"/>
      <c r="J51" s="1027">
        <v>0</v>
      </c>
      <c r="K51" s="1025"/>
      <c r="L51" s="1027">
        <v>0</v>
      </c>
      <c r="M51" s="993"/>
      <c r="N51" s="966">
        <f>AVERAGE(B51:F51)</f>
        <v>0</v>
      </c>
      <c r="O51" s="967"/>
      <c r="P51" s="966">
        <f>AVERAGE(H51:L51)</f>
        <v>0</v>
      </c>
      <c r="Q51" s="967"/>
      <c r="R51" s="968">
        <f>P51-N51</f>
        <v>0</v>
      </c>
      <c r="S51" s="2749"/>
      <c r="T51" s="3556"/>
      <c r="U51" s="3557"/>
      <c r="V51" s="3558"/>
      <c r="W51" s="3559"/>
      <c r="X51" s="3558"/>
      <c r="Y51" s="3557"/>
      <c r="Z51" s="3558"/>
      <c r="AA51" s="3557"/>
      <c r="AB51" s="3560"/>
    </row>
    <row r="52" spans="1:28" s="972" customFormat="1" ht="14.4" thickTop="1" thickBot="1">
      <c r="A52" s="976" t="s">
        <v>32</v>
      </c>
      <c r="B52" s="984">
        <f>SUM(B43:B51)</f>
        <v>282</v>
      </c>
      <c r="C52" s="986"/>
      <c r="D52" s="985">
        <f>SUM(D43:D51)</f>
        <v>293</v>
      </c>
      <c r="E52" s="986"/>
      <c r="F52" s="985">
        <f>SUM(F43:F51)</f>
        <v>312</v>
      </c>
      <c r="G52" s="986"/>
      <c r="H52" s="985">
        <f>SUM(H43:H51)</f>
        <v>358</v>
      </c>
      <c r="I52" s="986"/>
      <c r="J52" s="985">
        <f>SUM(J43:J51)</f>
        <v>354</v>
      </c>
      <c r="K52" s="986"/>
      <c r="L52" s="985">
        <f>SUM(L43:L51)</f>
        <v>441</v>
      </c>
      <c r="M52" s="986"/>
      <c r="N52" s="969">
        <f>AVERAGE(B52:F52)</f>
        <v>295.66666666666669</v>
      </c>
      <c r="O52" s="970"/>
      <c r="P52" s="969">
        <f>AVERAGE(H52:L52)</f>
        <v>384.33333333333331</v>
      </c>
      <c r="Q52" s="970"/>
      <c r="R52" s="971">
        <f>P52-N52</f>
        <v>88.666666666666629</v>
      </c>
      <c r="S52" s="3543"/>
      <c r="T52" s="3553">
        <f>D52/('Student Enrollment BRS VIII '!B169+'Student Enrollment BRS VIII '!B173)</f>
        <v>0.1504879301489471</v>
      </c>
      <c r="U52" s="3554"/>
      <c r="V52" s="3554">
        <f>F52/('Student Enrollment BRS VIII '!D169+'Student Enrollment BRS VIII '!D173)</f>
        <v>0.15985244389794037</v>
      </c>
      <c r="W52" s="3554"/>
      <c r="X52" s="3554">
        <f>H52/('Student Enrollment BRS VIII '!F169+'Student Enrollment BRS VIII '!F173)</f>
        <v>0.19014234119396645</v>
      </c>
      <c r="Y52" s="3554"/>
      <c r="Z52" s="3554">
        <f>J52/('Student Enrollment BRS VIII '!H169+'Student Enrollment BRS VIII '!H173)</f>
        <v>0.16736006051437219</v>
      </c>
      <c r="AA52" s="3554"/>
      <c r="AB52" s="3555">
        <f>L52/('Student Enrollment BRS VIII '!J169+'Student Enrollment BRS VIII '!J173)</f>
        <v>0.20331012862477527</v>
      </c>
    </row>
    <row r="53" spans="1:28" s="1000" customFormat="1" ht="13.8" thickBot="1">
      <c r="A53" s="1003"/>
      <c r="F53" s="1001"/>
      <c r="N53" s="957"/>
      <c r="O53" s="957"/>
      <c r="P53" s="957"/>
      <c r="Q53" s="957"/>
      <c r="R53" s="957"/>
      <c r="S53" s="2749"/>
      <c r="T53" s="3244"/>
      <c r="W53" s="3260"/>
    </row>
    <row r="54" spans="1:28" s="1002" customFormat="1" ht="27" thickBot="1">
      <c r="A54" s="442" t="s">
        <v>176</v>
      </c>
      <c r="B54" s="1008" t="s">
        <v>2</v>
      </c>
      <c r="C54" s="1009"/>
      <c r="D54" s="1010" t="s">
        <v>3</v>
      </c>
      <c r="E54" s="1009"/>
      <c r="F54" s="1011" t="s">
        <v>4</v>
      </c>
      <c r="G54" s="1009"/>
      <c r="H54" s="1007" t="s">
        <v>5</v>
      </c>
      <c r="I54" s="1009"/>
      <c r="J54" s="1007" t="s">
        <v>6</v>
      </c>
      <c r="K54" s="1009"/>
      <c r="L54" s="1007" t="s">
        <v>7</v>
      </c>
      <c r="M54" s="1009"/>
      <c r="N54" s="959" t="s">
        <v>33</v>
      </c>
      <c r="O54" s="960"/>
      <c r="P54" s="959" t="s">
        <v>34</v>
      </c>
      <c r="Q54" s="960"/>
      <c r="R54" s="961" t="s">
        <v>35</v>
      </c>
      <c r="S54" s="3239"/>
      <c r="T54" s="3245"/>
      <c r="W54" s="3521"/>
    </row>
    <row r="55" spans="1:28" s="1000" customFormat="1">
      <c r="A55" s="1005" t="s">
        <v>28</v>
      </c>
      <c r="B55" s="1015"/>
      <c r="C55" s="1016"/>
      <c r="D55" s="1017"/>
      <c r="E55" s="1016"/>
      <c r="F55" s="1017"/>
      <c r="G55" s="1016"/>
      <c r="H55" s="1017"/>
      <c r="I55" s="1016"/>
      <c r="J55" s="1017"/>
      <c r="K55" s="1016"/>
      <c r="L55" s="1017"/>
      <c r="M55" s="1016"/>
      <c r="N55" s="962"/>
      <c r="O55" s="963"/>
      <c r="P55" s="962"/>
      <c r="Q55" s="963"/>
      <c r="R55" s="964"/>
      <c r="S55" s="2749"/>
      <c r="T55" s="3244"/>
      <c r="W55" s="3260"/>
    </row>
    <row r="56" spans="1:28" s="1000" customFormat="1" ht="13.8" thickBot="1">
      <c r="A56" s="1005"/>
      <c r="B56" s="1015"/>
      <c r="C56" s="1016"/>
      <c r="D56" s="1017"/>
      <c r="E56" s="1016"/>
      <c r="F56" s="1017"/>
      <c r="G56" s="1016"/>
      <c r="H56" s="1017"/>
      <c r="I56" s="1016"/>
      <c r="J56" s="1017"/>
      <c r="K56" s="1016"/>
      <c r="L56" s="1017"/>
      <c r="M56" s="1016"/>
      <c r="N56" s="962"/>
      <c r="O56" s="963"/>
      <c r="P56" s="962"/>
      <c r="Q56" s="963"/>
      <c r="R56" s="964"/>
      <c r="S56" s="2749"/>
      <c r="T56" s="3244"/>
      <c r="W56" s="3260"/>
    </row>
    <row r="57" spans="1:28" s="1000" customFormat="1">
      <c r="A57" s="1005" t="s">
        <v>65</v>
      </c>
      <c r="B57" s="1018"/>
      <c r="C57" s="1019"/>
      <c r="D57" s="1020"/>
      <c r="E57" s="1019"/>
      <c r="F57" s="1020"/>
      <c r="G57" s="1019"/>
      <c r="H57" s="1020"/>
      <c r="I57" s="1019"/>
      <c r="J57" s="1020"/>
      <c r="K57" s="1019"/>
      <c r="L57" s="1020"/>
      <c r="M57" s="1019"/>
      <c r="N57" s="962"/>
      <c r="O57" s="963"/>
      <c r="P57" s="962"/>
      <c r="Q57" s="963"/>
      <c r="R57" s="964"/>
      <c r="S57" s="2749"/>
      <c r="T57" s="4483" t="s">
        <v>365</v>
      </c>
      <c r="U57" s="4484"/>
      <c r="V57" s="4484"/>
      <c r="W57" s="4484"/>
      <c r="X57" s="4484"/>
      <c r="Y57" s="4484"/>
      <c r="Z57" s="4484"/>
      <c r="AA57" s="4484"/>
      <c r="AB57" s="4485"/>
    </row>
    <row r="58" spans="1:28" s="1000" customFormat="1" ht="13.8" thickBot="1">
      <c r="A58" s="1005"/>
      <c r="B58" s="1018"/>
      <c r="C58" s="1019"/>
      <c r="D58" s="1020"/>
      <c r="E58" s="1019"/>
      <c r="F58" s="1020"/>
      <c r="G58" s="1019"/>
      <c r="H58" s="1020"/>
      <c r="I58" s="1019"/>
      <c r="J58" s="1020"/>
      <c r="K58" s="1019"/>
      <c r="L58" s="1020"/>
      <c r="M58" s="1019"/>
      <c r="N58" s="962"/>
      <c r="O58" s="965"/>
      <c r="P58" s="962"/>
      <c r="Q58" s="965"/>
      <c r="R58" s="964"/>
      <c r="S58" s="2749"/>
      <c r="T58" s="3052">
        <v>2007</v>
      </c>
      <c r="U58" s="3032"/>
      <c r="V58" s="3032">
        <v>2008</v>
      </c>
      <c r="W58" s="3032"/>
      <c r="X58" s="3032">
        <v>2009</v>
      </c>
      <c r="Y58" s="3032"/>
      <c r="Z58" s="3032">
        <v>2010</v>
      </c>
      <c r="AA58" s="3032"/>
      <c r="AB58" s="3545">
        <v>2011</v>
      </c>
    </row>
    <row r="59" spans="1:28" s="1000" customFormat="1">
      <c r="A59" s="1005" t="s">
        <v>29</v>
      </c>
      <c r="B59" s="1050">
        <v>361</v>
      </c>
      <c r="C59" s="1051"/>
      <c r="D59" s="1052">
        <v>408</v>
      </c>
      <c r="E59" s="1051"/>
      <c r="F59" s="1052">
        <v>376</v>
      </c>
      <c r="G59" s="1051"/>
      <c r="H59" s="1052">
        <v>351</v>
      </c>
      <c r="I59" s="1051"/>
      <c r="J59" s="1052">
        <v>402</v>
      </c>
      <c r="K59" s="1051"/>
      <c r="L59" s="1052">
        <v>459</v>
      </c>
      <c r="M59" s="1019"/>
      <c r="N59" s="962">
        <f>AVERAGE(B59:F59)</f>
        <v>381.66666666666669</v>
      </c>
      <c r="O59" s="963"/>
      <c r="P59" s="962">
        <f>AVERAGE(H59:L59)</f>
        <v>404</v>
      </c>
      <c r="Q59" s="963"/>
      <c r="R59" s="964">
        <f>P59-N59</f>
        <v>22.333333333333314</v>
      </c>
      <c r="S59" s="3543"/>
      <c r="T59" s="3546">
        <f>D59/'Student Enrollment BRS VIII '!B205</f>
        <v>0.12725741555160475</v>
      </c>
      <c r="U59" s="3547"/>
      <c r="V59" s="3547">
        <f>F59/'Student Enrollment BRS VIII '!D205</f>
        <v>0.12114963268462431</v>
      </c>
      <c r="W59" s="3547"/>
      <c r="X59" s="3547">
        <f>H59/'Student Enrollment BRS VIII '!F205</f>
        <v>0.10740842743045992</v>
      </c>
      <c r="Y59" s="3547"/>
      <c r="Z59" s="3547">
        <f>J59/'Student Enrollment BRS VIII '!H205</f>
        <v>0.10524386731942299</v>
      </c>
      <c r="AA59" s="3547"/>
      <c r="AB59" s="3548">
        <f>L59/'Student Enrollment BRS VIII '!J205</f>
        <v>0.11160822837134658</v>
      </c>
    </row>
    <row r="60" spans="1:28" s="1000" customFormat="1">
      <c r="A60" s="1005"/>
      <c r="B60" s="1050"/>
      <c r="C60" s="1051"/>
      <c r="D60" s="1052"/>
      <c r="E60" s="1051"/>
      <c r="F60" s="1052"/>
      <c r="G60" s="1051"/>
      <c r="H60" s="1052"/>
      <c r="I60" s="1051"/>
      <c r="J60" s="1052"/>
      <c r="K60" s="1051"/>
      <c r="L60" s="1052"/>
      <c r="M60" s="1019"/>
      <c r="N60" s="962"/>
      <c r="O60" s="965"/>
      <c r="P60" s="962"/>
      <c r="Q60" s="965"/>
      <c r="R60" s="964"/>
      <c r="S60" s="2749"/>
      <c r="T60" s="3549"/>
      <c r="U60" s="3550"/>
      <c r="V60" s="3550"/>
      <c r="W60" s="3551"/>
      <c r="X60" s="3550"/>
      <c r="Y60" s="3550"/>
      <c r="Z60" s="3550"/>
      <c r="AA60" s="3550"/>
      <c r="AB60" s="3552"/>
    </row>
    <row r="61" spans="1:28" s="1000" customFormat="1">
      <c r="A61" s="1005" t="s">
        <v>30</v>
      </c>
      <c r="B61" s="1050">
        <v>143</v>
      </c>
      <c r="C61" s="1051"/>
      <c r="D61" s="1052">
        <v>138</v>
      </c>
      <c r="E61" s="1051"/>
      <c r="F61" s="1052">
        <v>127</v>
      </c>
      <c r="G61" s="1051"/>
      <c r="H61" s="1052">
        <v>170</v>
      </c>
      <c r="I61" s="1051"/>
      <c r="J61" s="1052">
        <v>144</v>
      </c>
      <c r="K61" s="1051"/>
      <c r="L61" s="1052">
        <v>174</v>
      </c>
      <c r="M61" s="1019"/>
      <c r="N61" s="962">
        <f>AVERAGE(B61:F61)</f>
        <v>136</v>
      </c>
      <c r="O61" s="963"/>
      <c r="P61" s="962">
        <f>AVERAGE(H61:L61)</f>
        <v>162.66666666666666</v>
      </c>
      <c r="Q61" s="963"/>
      <c r="R61" s="964">
        <f>P61-N61</f>
        <v>26.666666666666657</v>
      </c>
      <c r="S61" s="3543"/>
      <c r="T61" s="3546">
        <f>D61/'Student Enrollment BRS VIII '!B209</f>
        <v>0.33349444175930398</v>
      </c>
      <c r="U61" s="3547"/>
      <c r="V61" s="3547">
        <f>F61/'Student Enrollment BRS VIII '!D209</f>
        <v>0.28322925958965212</v>
      </c>
      <c r="W61" s="3547"/>
      <c r="X61" s="3547">
        <f>H61/'Student Enrollment BRS VIII '!F209</f>
        <v>0.37477954144620812</v>
      </c>
      <c r="Y61" s="3547"/>
      <c r="Z61" s="3547">
        <f>J61/'Student Enrollment BRS VIII '!H209</f>
        <v>0.30861551650235747</v>
      </c>
      <c r="AA61" s="3547"/>
      <c r="AB61" s="3548">
        <f>L61/'Student Enrollment BRS VIII '!J209</f>
        <v>0.39402173913043476</v>
      </c>
    </row>
    <row r="62" spans="1:28" s="1000" customFormat="1">
      <c r="A62" s="1005"/>
      <c r="B62" s="1050"/>
      <c r="C62" s="1051"/>
      <c r="D62" s="1052"/>
      <c r="E62" s="1051"/>
      <c r="F62" s="1052"/>
      <c r="G62" s="1051"/>
      <c r="H62" s="1052"/>
      <c r="I62" s="1051"/>
      <c r="J62" s="1052"/>
      <c r="K62" s="1051"/>
      <c r="L62" s="1052"/>
      <c r="M62" s="1019"/>
      <c r="N62" s="962"/>
      <c r="O62" s="965"/>
      <c r="P62" s="962"/>
      <c r="Q62" s="965"/>
      <c r="R62" s="964"/>
      <c r="S62" s="2749"/>
      <c r="T62" s="3549"/>
      <c r="U62" s="3550"/>
      <c r="V62" s="3550"/>
      <c r="W62" s="3551"/>
      <c r="X62" s="3550"/>
      <c r="Y62" s="3550"/>
      <c r="Z62" s="3550"/>
      <c r="AA62" s="3550"/>
      <c r="AB62" s="3552"/>
    </row>
    <row r="63" spans="1:28" s="1000" customFormat="1" ht="13.8" thickBot="1">
      <c r="A63" s="1006" t="s">
        <v>31</v>
      </c>
      <c r="B63" s="1054">
        <v>0</v>
      </c>
      <c r="C63" s="1053"/>
      <c r="D63" s="1055">
        <v>0</v>
      </c>
      <c r="E63" s="1053"/>
      <c r="F63" s="1055">
        <v>0</v>
      </c>
      <c r="G63" s="1053"/>
      <c r="H63" s="1055">
        <v>0</v>
      </c>
      <c r="I63" s="1053"/>
      <c r="J63" s="1055">
        <v>0</v>
      </c>
      <c r="K63" s="1053"/>
      <c r="L63" s="1055">
        <v>0</v>
      </c>
      <c r="M63" s="1021"/>
      <c r="N63" s="966">
        <f>AVERAGE(B63:F63)</f>
        <v>0</v>
      </c>
      <c r="O63" s="967"/>
      <c r="P63" s="966">
        <f>AVERAGE(H63:L63)</f>
        <v>0</v>
      </c>
      <c r="Q63" s="967"/>
      <c r="R63" s="968">
        <f>P63-N63</f>
        <v>0</v>
      </c>
      <c r="S63" s="2749"/>
      <c r="T63" s="3556"/>
      <c r="U63" s="3557"/>
      <c r="V63" s="3558"/>
      <c r="W63" s="3559"/>
      <c r="X63" s="3558"/>
      <c r="Y63" s="3557"/>
      <c r="Z63" s="3558"/>
      <c r="AA63" s="3557"/>
      <c r="AB63" s="3560"/>
    </row>
    <row r="64" spans="1:28" s="1000" customFormat="1" ht="14.4" thickTop="1" thickBot="1">
      <c r="A64" s="1004" t="s">
        <v>32</v>
      </c>
      <c r="B64" s="1012">
        <f>SUM(B55:B63)</f>
        <v>504</v>
      </c>
      <c r="C64" s="1014"/>
      <c r="D64" s="1013">
        <f>SUM(D55:D63)</f>
        <v>546</v>
      </c>
      <c r="E64" s="1014"/>
      <c r="F64" s="1013">
        <f>SUM(F55:F63)</f>
        <v>503</v>
      </c>
      <c r="G64" s="1014"/>
      <c r="H64" s="1013">
        <f>SUM(H55:H63)</f>
        <v>521</v>
      </c>
      <c r="I64" s="1014"/>
      <c r="J64" s="1013">
        <f>SUM(J55:J63)</f>
        <v>546</v>
      </c>
      <c r="K64" s="1014"/>
      <c r="L64" s="1013">
        <f>SUM(L55:L63)</f>
        <v>633</v>
      </c>
      <c r="M64" s="1014"/>
      <c r="N64" s="969">
        <f>AVERAGE(B64:F64)</f>
        <v>517.66666666666663</v>
      </c>
      <c r="O64" s="970"/>
      <c r="P64" s="969">
        <f>AVERAGE(H64:L64)</f>
        <v>566.66666666666663</v>
      </c>
      <c r="Q64" s="970"/>
      <c r="R64" s="971">
        <f>P64-N64</f>
        <v>49</v>
      </c>
      <c r="S64" s="3543"/>
      <c r="T64" s="3553">
        <f>D64/('Student Enrollment BRS VIII '!B205+'Student Enrollment BRS VIII '!B209)</f>
        <v>0.15083289593635182</v>
      </c>
      <c r="U64" s="3554"/>
      <c r="V64" s="3554">
        <f>F64/('Student Enrollment BRS VIII '!D205+'Student Enrollment BRS VIII '!D209)</f>
        <v>0.14161036036036037</v>
      </c>
      <c r="W64" s="3554"/>
      <c r="X64" s="3554">
        <f>H64/('Student Enrollment BRS VIII '!F205+'Student Enrollment BRS VIII '!F209)</f>
        <v>0.13999731291146042</v>
      </c>
      <c r="Y64" s="3554"/>
      <c r="Z64" s="3554">
        <f>J64/('Student Enrollment BRS VIII '!H205+'Student Enrollment BRS VIII '!H209)</f>
        <v>0.12738259104589039</v>
      </c>
      <c r="AA64" s="3554"/>
      <c r="AB64" s="3555">
        <f>L64/('Student Enrollment BRS VIII '!J205+'Student Enrollment BRS VIII '!J209)</f>
        <v>0.13899257827939043</v>
      </c>
    </row>
    <row r="65" spans="1:28" s="1028" customFormat="1" ht="13.8" thickBot="1">
      <c r="A65" s="1031"/>
      <c r="F65" s="1029"/>
      <c r="N65" s="957"/>
      <c r="O65" s="957"/>
      <c r="P65" s="957"/>
      <c r="Q65" s="957"/>
      <c r="R65" s="957"/>
      <c r="S65" s="2749"/>
      <c r="T65" s="3244"/>
      <c r="W65" s="3260"/>
    </row>
    <row r="66" spans="1:28" s="1030" customFormat="1" ht="27" thickBot="1">
      <c r="A66" s="442" t="s">
        <v>177</v>
      </c>
      <c r="B66" s="1036" t="s">
        <v>2</v>
      </c>
      <c r="C66" s="1037"/>
      <c r="D66" s="1038" t="s">
        <v>3</v>
      </c>
      <c r="E66" s="1037"/>
      <c r="F66" s="1039" t="s">
        <v>4</v>
      </c>
      <c r="G66" s="1037"/>
      <c r="H66" s="1035" t="s">
        <v>5</v>
      </c>
      <c r="I66" s="1037"/>
      <c r="J66" s="1035" t="s">
        <v>6</v>
      </c>
      <c r="K66" s="1037"/>
      <c r="L66" s="1035" t="s">
        <v>7</v>
      </c>
      <c r="M66" s="1037"/>
      <c r="N66" s="959" t="s">
        <v>33</v>
      </c>
      <c r="O66" s="960"/>
      <c r="P66" s="959" t="s">
        <v>34</v>
      </c>
      <c r="Q66" s="960"/>
      <c r="R66" s="961" t="s">
        <v>35</v>
      </c>
      <c r="S66" s="3239"/>
      <c r="T66" s="3245"/>
      <c r="W66" s="3521"/>
    </row>
    <row r="67" spans="1:28" s="1028" customFormat="1">
      <c r="A67" s="1033" t="s">
        <v>28</v>
      </c>
      <c r="B67" s="1043"/>
      <c r="C67" s="1044"/>
      <c r="D67" s="1045"/>
      <c r="E67" s="1044"/>
      <c r="F67" s="1045"/>
      <c r="G67" s="1044"/>
      <c r="H67" s="1045"/>
      <c r="I67" s="1044"/>
      <c r="J67" s="1045"/>
      <c r="K67" s="1044"/>
      <c r="L67" s="1045"/>
      <c r="M67" s="1044"/>
      <c r="N67" s="962"/>
      <c r="O67" s="963"/>
      <c r="P67" s="962"/>
      <c r="Q67" s="963"/>
      <c r="R67" s="964"/>
      <c r="S67" s="2749"/>
      <c r="T67" s="3244"/>
      <c r="W67" s="3260"/>
    </row>
    <row r="68" spans="1:28" s="1028" customFormat="1" ht="13.8" thickBot="1">
      <c r="A68" s="1033"/>
      <c r="B68" s="1043"/>
      <c r="C68" s="1044"/>
      <c r="D68" s="1045"/>
      <c r="E68" s="1044"/>
      <c r="F68" s="1045"/>
      <c r="G68" s="1044"/>
      <c r="H68" s="1045"/>
      <c r="I68" s="1044"/>
      <c r="J68" s="1045"/>
      <c r="K68" s="1044"/>
      <c r="L68" s="1045"/>
      <c r="M68" s="1044"/>
      <c r="N68" s="962"/>
      <c r="O68" s="963"/>
      <c r="P68" s="962"/>
      <c r="Q68" s="963"/>
      <c r="R68" s="964"/>
      <c r="S68" s="2749"/>
      <c r="T68" s="3244"/>
      <c r="W68" s="3260"/>
    </row>
    <row r="69" spans="1:28" s="1028" customFormat="1">
      <c r="A69" s="1033" t="s">
        <v>65</v>
      </c>
      <c r="B69" s="1046"/>
      <c r="C69" s="1047"/>
      <c r="D69" s="1048"/>
      <c r="E69" s="1047"/>
      <c r="F69" s="1048"/>
      <c r="G69" s="1047"/>
      <c r="H69" s="1048"/>
      <c r="I69" s="1047"/>
      <c r="J69" s="1048"/>
      <c r="K69" s="1047"/>
      <c r="L69" s="1048"/>
      <c r="M69" s="1047"/>
      <c r="N69" s="962"/>
      <c r="O69" s="963"/>
      <c r="P69" s="962"/>
      <c r="Q69" s="963"/>
      <c r="R69" s="964"/>
      <c r="S69" s="2749"/>
      <c r="T69" s="4483" t="s">
        <v>365</v>
      </c>
      <c r="U69" s="4484"/>
      <c r="V69" s="4484"/>
      <c r="W69" s="4484"/>
      <c r="X69" s="4484"/>
      <c r="Y69" s="4484"/>
      <c r="Z69" s="4484"/>
      <c r="AA69" s="4484"/>
      <c r="AB69" s="4485"/>
    </row>
    <row r="70" spans="1:28" s="1028" customFormat="1" ht="13.8" thickBot="1">
      <c r="A70" s="1033"/>
      <c r="B70" s="1046"/>
      <c r="C70" s="1047"/>
      <c r="D70" s="1048"/>
      <c r="E70" s="1047"/>
      <c r="F70" s="1048"/>
      <c r="G70" s="1047"/>
      <c r="H70" s="1048"/>
      <c r="I70" s="1047"/>
      <c r="J70" s="1048"/>
      <c r="K70" s="1047"/>
      <c r="L70" s="1048"/>
      <c r="M70" s="1047"/>
      <c r="N70" s="962"/>
      <c r="O70" s="965"/>
      <c r="P70" s="962"/>
      <c r="Q70" s="965"/>
      <c r="R70" s="964"/>
      <c r="S70" s="2749"/>
      <c r="T70" s="3052">
        <v>2007</v>
      </c>
      <c r="U70" s="3032"/>
      <c r="V70" s="3032">
        <v>2008</v>
      </c>
      <c r="W70" s="3032"/>
      <c r="X70" s="3032">
        <v>2009</v>
      </c>
      <c r="Y70" s="3032"/>
      <c r="Z70" s="3032">
        <v>2010</v>
      </c>
      <c r="AA70" s="3032"/>
      <c r="AB70" s="3545">
        <v>2011</v>
      </c>
    </row>
    <row r="71" spans="1:28" s="1028" customFormat="1">
      <c r="A71" s="1033" t="s">
        <v>29</v>
      </c>
      <c r="B71" s="1078">
        <v>660</v>
      </c>
      <c r="C71" s="1079"/>
      <c r="D71" s="1080">
        <v>493</v>
      </c>
      <c r="E71" s="1079"/>
      <c r="F71" s="1080">
        <v>511</v>
      </c>
      <c r="G71" s="1079"/>
      <c r="H71" s="1080">
        <v>629</v>
      </c>
      <c r="I71" s="1079"/>
      <c r="J71" s="1080">
        <v>554</v>
      </c>
      <c r="K71" s="1079"/>
      <c r="L71" s="1080">
        <v>569</v>
      </c>
      <c r="M71" s="1047"/>
      <c r="N71" s="962">
        <f>AVERAGE(B71:F71)</f>
        <v>554.66666666666663</v>
      </c>
      <c r="O71" s="963"/>
      <c r="P71" s="962">
        <f>AVERAGE(H71:L71)</f>
        <v>584</v>
      </c>
      <c r="Q71" s="963"/>
      <c r="R71" s="964">
        <f>P71-N71</f>
        <v>29.333333333333371</v>
      </c>
      <c r="S71" s="2749"/>
      <c r="T71" s="3546">
        <f>D71/'Student Enrollment BRS VIII '!B241</f>
        <v>0.11716614777669511</v>
      </c>
      <c r="U71" s="3547"/>
      <c r="V71" s="3547">
        <f>F71/'Student Enrollment BRS VIII '!D241</f>
        <v>0.1208695035125482</v>
      </c>
      <c r="W71" s="3547"/>
      <c r="X71" s="3547">
        <f>H71/'Student Enrollment BRS VIII '!F241</f>
        <v>0.13865620315668814</v>
      </c>
      <c r="Y71" s="3547"/>
      <c r="Z71" s="3547">
        <f>J71/'Student Enrollment BRS VIII '!H241</f>
        <v>0.10919268369599494</v>
      </c>
      <c r="AA71" s="3547"/>
      <c r="AB71" s="3548">
        <f>L71/'Student Enrollment BRS VIII '!J241</f>
        <v>0.1087392741796778</v>
      </c>
    </row>
    <row r="72" spans="1:28" s="1028" customFormat="1">
      <c r="A72" s="1033"/>
      <c r="B72" s="1078"/>
      <c r="C72" s="1079"/>
      <c r="D72" s="1080"/>
      <c r="E72" s="1079"/>
      <c r="F72" s="1080"/>
      <c r="G72" s="1079"/>
      <c r="H72" s="1080"/>
      <c r="I72" s="1079"/>
      <c r="J72" s="1080"/>
      <c r="K72" s="1079"/>
      <c r="L72" s="1080"/>
      <c r="M72" s="1047"/>
      <c r="N72" s="962"/>
      <c r="O72" s="965"/>
      <c r="P72" s="962"/>
      <c r="Q72" s="965"/>
      <c r="R72" s="964"/>
      <c r="S72" s="2749"/>
      <c r="T72" s="3549"/>
      <c r="U72" s="3550"/>
      <c r="V72" s="3550"/>
      <c r="W72" s="3551"/>
      <c r="X72" s="3550"/>
      <c r="Y72" s="3550"/>
      <c r="Z72" s="3550"/>
      <c r="AA72" s="3550"/>
      <c r="AB72" s="3552"/>
    </row>
    <row r="73" spans="1:28" s="1028" customFormat="1">
      <c r="A73" s="1033" t="s">
        <v>30</v>
      </c>
      <c r="B73" s="1078">
        <v>234</v>
      </c>
      <c r="C73" s="1079"/>
      <c r="D73" s="1080">
        <v>194</v>
      </c>
      <c r="E73" s="1079"/>
      <c r="F73" s="1080">
        <v>201</v>
      </c>
      <c r="G73" s="1079"/>
      <c r="H73" s="1080">
        <v>152</v>
      </c>
      <c r="I73" s="1079"/>
      <c r="J73" s="1080">
        <v>176</v>
      </c>
      <c r="K73" s="1079"/>
      <c r="L73" s="1080">
        <v>179</v>
      </c>
      <c r="M73" s="1047"/>
      <c r="N73" s="962">
        <f>AVERAGE(B73:F73)</f>
        <v>209.66666666666666</v>
      </c>
      <c r="O73" s="963"/>
      <c r="P73" s="962">
        <f>AVERAGE(H73:L73)</f>
        <v>169</v>
      </c>
      <c r="Q73" s="963"/>
      <c r="R73" s="964">
        <f>P73-N73</f>
        <v>-40.666666666666657</v>
      </c>
      <c r="S73" s="2749"/>
      <c r="T73" s="3546">
        <f>D73/'Student Enrollment BRS VIII '!B245</f>
        <v>0.34655234012147196</v>
      </c>
      <c r="U73" s="3547"/>
      <c r="V73" s="3547">
        <f>F73/'Student Enrollment BRS VIII '!D245</f>
        <v>0.35543766578249336</v>
      </c>
      <c r="W73" s="3547"/>
      <c r="X73" s="3547">
        <f>H73/'Student Enrollment BRS VIII '!F245</f>
        <v>0.30027657052548401</v>
      </c>
      <c r="Y73" s="3547"/>
      <c r="Z73" s="3547">
        <f>J73/'Student Enrollment BRS VIII '!H245</f>
        <v>0.35896389965327352</v>
      </c>
      <c r="AA73" s="3547"/>
      <c r="AB73" s="3548">
        <f>L73/'Student Enrollment BRS VIII '!J245</f>
        <v>0.44099531904409955</v>
      </c>
    </row>
    <row r="74" spans="1:28" s="1028" customFormat="1">
      <c r="A74" s="1033"/>
      <c r="B74" s="1078"/>
      <c r="C74" s="1079"/>
      <c r="D74" s="1080"/>
      <c r="E74" s="1079"/>
      <c r="F74" s="1080"/>
      <c r="G74" s="1079"/>
      <c r="H74" s="1080"/>
      <c r="I74" s="1079"/>
      <c r="J74" s="1080"/>
      <c r="K74" s="1079"/>
      <c r="L74" s="1080"/>
      <c r="M74" s="1047"/>
      <c r="N74" s="962"/>
      <c r="O74" s="965"/>
      <c r="P74" s="962"/>
      <c r="Q74" s="965"/>
      <c r="R74" s="964"/>
      <c r="S74" s="2749"/>
      <c r="T74" s="3549"/>
      <c r="U74" s="3550"/>
      <c r="V74" s="3550"/>
      <c r="W74" s="3551"/>
      <c r="X74" s="3550"/>
      <c r="Y74" s="3550"/>
      <c r="Z74" s="3550"/>
      <c r="AA74" s="3550"/>
      <c r="AB74" s="3552"/>
    </row>
    <row r="75" spans="1:28" s="1028" customFormat="1" ht="13.8" thickBot="1">
      <c r="A75" s="1034" t="s">
        <v>31</v>
      </c>
      <c r="B75" s="1082">
        <v>0</v>
      </c>
      <c r="C75" s="1081"/>
      <c r="D75" s="1083">
        <v>0</v>
      </c>
      <c r="E75" s="1081"/>
      <c r="F75" s="1083">
        <v>0</v>
      </c>
      <c r="G75" s="1081"/>
      <c r="H75" s="1083">
        <v>0</v>
      </c>
      <c r="I75" s="1081"/>
      <c r="J75" s="1083">
        <v>0</v>
      </c>
      <c r="K75" s="1081"/>
      <c r="L75" s="1083">
        <v>0</v>
      </c>
      <c r="M75" s="1049"/>
      <c r="N75" s="966">
        <f>AVERAGE(B75:F75)</f>
        <v>0</v>
      </c>
      <c r="O75" s="967"/>
      <c r="P75" s="966">
        <f>AVERAGE(H75:L75)</f>
        <v>0</v>
      </c>
      <c r="Q75" s="967"/>
      <c r="R75" s="968">
        <f>P75-N75</f>
        <v>0</v>
      </c>
      <c r="S75" s="2749"/>
      <c r="T75" s="3556"/>
      <c r="U75" s="3557"/>
      <c r="V75" s="3558"/>
      <c r="W75" s="3559"/>
      <c r="X75" s="3558"/>
      <c r="Y75" s="3557"/>
      <c r="Z75" s="3558"/>
      <c r="AA75" s="3557"/>
      <c r="AB75" s="3560"/>
    </row>
    <row r="76" spans="1:28" s="1028" customFormat="1" ht="14.4" thickTop="1" thickBot="1">
      <c r="A76" s="1032" t="s">
        <v>32</v>
      </c>
      <c r="B76" s="1040">
        <f>SUM(B67:B75)</f>
        <v>894</v>
      </c>
      <c r="C76" s="1042"/>
      <c r="D76" s="1041">
        <f>SUM(D67:D75)</f>
        <v>687</v>
      </c>
      <c r="E76" s="1042"/>
      <c r="F76" s="1041">
        <f>SUM(F67:F75)</f>
        <v>712</v>
      </c>
      <c r="G76" s="1042"/>
      <c r="H76" s="1041">
        <f>SUM(H67:H75)</f>
        <v>781</v>
      </c>
      <c r="I76" s="1042"/>
      <c r="J76" s="1041">
        <f>SUM(J67:J75)</f>
        <v>730</v>
      </c>
      <c r="K76" s="1042"/>
      <c r="L76" s="1041">
        <f>SUM(L67:L75)</f>
        <v>748</v>
      </c>
      <c r="M76" s="1042"/>
      <c r="N76" s="969">
        <f>AVERAGE(B76:F76)</f>
        <v>764.33333333333337</v>
      </c>
      <c r="O76" s="970"/>
      <c r="P76" s="969">
        <f>AVERAGE(H76:L76)</f>
        <v>753</v>
      </c>
      <c r="Q76" s="970"/>
      <c r="R76" s="971">
        <f>P76-N76</f>
        <v>-11.333333333333371</v>
      </c>
      <c r="S76" s="2749"/>
      <c r="T76" s="3553">
        <f>D76/('Student Enrollment BRS VIII '!B241+'Student Enrollment BRS VIII '!B245)</f>
        <v>0.14410068169900367</v>
      </c>
      <c r="U76" s="3554"/>
      <c r="V76" s="3554">
        <f>F76/('Student Enrollment BRS VIII '!D241+'Student Enrollment BRS VIII '!D245)</f>
        <v>0.14854377034131688</v>
      </c>
      <c r="W76" s="3554"/>
      <c r="X76" s="3554">
        <f>H76/('Student Enrollment BRS VIII '!F241+'Student Enrollment BRS VIII '!F245)</f>
        <v>0.15488041883155518</v>
      </c>
      <c r="Y76" s="3554"/>
      <c r="Z76" s="3554">
        <f>J76/('Student Enrollment BRS VIII '!H241+'Student Enrollment BRS VIII '!H245)</f>
        <v>0.13120293319434209</v>
      </c>
      <c r="AA76" s="3554"/>
      <c r="AB76" s="3555">
        <f>L76/('Student Enrollment BRS VIII '!J241+'Student Enrollment BRS VIII '!J245)</f>
        <v>0.13265704252828717</v>
      </c>
    </row>
    <row r="77" spans="1:28" s="1056" customFormat="1" ht="13.8" thickBot="1">
      <c r="A77" s="1059"/>
      <c r="F77" s="1057"/>
      <c r="N77" s="957"/>
      <c r="O77" s="957"/>
      <c r="P77" s="957"/>
      <c r="Q77" s="957"/>
      <c r="R77" s="957"/>
      <c r="S77" s="2749"/>
      <c r="T77" s="3244"/>
      <c r="W77" s="3260"/>
    </row>
    <row r="78" spans="1:28" s="1058" customFormat="1" ht="27" thickBot="1">
      <c r="A78" s="442" t="s">
        <v>189</v>
      </c>
      <c r="B78" s="1064" t="s">
        <v>2</v>
      </c>
      <c r="C78" s="1065"/>
      <c r="D78" s="1066" t="s">
        <v>3</v>
      </c>
      <c r="E78" s="1065"/>
      <c r="F78" s="1067" t="s">
        <v>4</v>
      </c>
      <c r="G78" s="1065"/>
      <c r="H78" s="1063" t="s">
        <v>5</v>
      </c>
      <c r="I78" s="1065"/>
      <c r="J78" s="1063" t="s">
        <v>6</v>
      </c>
      <c r="K78" s="1065"/>
      <c r="L78" s="1063" t="s">
        <v>7</v>
      </c>
      <c r="M78" s="1065"/>
      <c r="N78" s="959" t="s">
        <v>33</v>
      </c>
      <c r="O78" s="960"/>
      <c r="P78" s="959" t="s">
        <v>34</v>
      </c>
      <c r="Q78" s="960"/>
      <c r="R78" s="961" t="s">
        <v>35</v>
      </c>
      <c r="S78" s="3239"/>
      <c r="T78" s="3245"/>
      <c r="W78" s="3521"/>
    </row>
    <row r="79" spans="1:28" s="1056" customFormat="1">
      <c r="A79" s="1061" t="s">
        <v>28</v>
      </c>
      <c r="B79" s="1071"/>
      <c r="C79" s="1072"/>
      <c r="D79" s="1073"/>
      <c r="E79" s="1072"/>
      <c r="F79" s="1073"/>
      <c r="G79" s="1072"/>
      <c r="H79" s="1073"/>
      <c r="I79" s="1072"/>
      <c r="J79" s="1073"/>
      <c r="K79" s="1072"/>
      <c r="L79" s="1073"/>
      <c r="M79" s="1072"/>
      <c r="N79" s="962"/>
      <c r="O79" s="963"/>
      <c r="P79" s="962"/>
      <c r="Q79" s="963"/>
      <c r="R79" s="964"/>
      <c r="S79" s="2749"/>
      <c r="T79" s="3244"/>
      <c r="W79" s="3260"/>
    </row>
    <row r="80" spans="1:28" s="1056" customFormat="1" ht="13.8" thickBot="1">
      <c r="A80" s="1061"/>
      <c r="B80" s="1071"/>
      <c r="C80" s="1072"/>
      <c r="D80" s="1073"/>
      <c r="E80" s="1072"/>
      <c r="F80" s="1073"/>
      <c r="G80" s="1072"/>
      <c r="H80" s="1073"/>
      <c r="I80" s="1072"/>
      <c r="J80" s="1073"/>
      <c r="K80" s="1072"/>
      <c r="L80" s="1073"/>
      <c r="M80" s="1072"/>
      <c r="N80" s="962"/>
      <c r="O80" s="963"/>
      <c r="P80" s="962"/>
      <c r="Q80" s="963"/>
      <c r="R80" s="964"/>
      <c r="S80" s="2749"/>
      <c r="T80" s="3244"/>
      <c r="W80" s="3260"/>
    </row>
    <row r="81" spans="1:28" s="1056" customFormat="1">
      <c r="A81" s="1061" t="s">
        <v>65</v>
      </c>
      <c r="B81" s="1074"/>
      <c r="C81" s="1075"/>
      <c r="D81" s="1076"/>
      <c r="E81" s="1075"/>
      <c r="F81" s="1076"/>
      <c r="G81" s="1075"/>
      <c r="H81" s="1076"/>
      <c r="I81" s="1075"/>
      <c r="J81" s="1076"/>
      <c r="K81" s="1075"/>
      <c r="L81" s="1076"/>
      <c r="M81" s="1075"/>
      <c r="N81" s="962"/>
      <c r="O81" s="963"/>
      <c r="P81" s="962"/>
      <c r="Q81" s="963"/>
      <c r="R81" s="964"/>
      <c r="S81" s="2749"/>
      <c r="T81" s="4483" t="s">
        <v>365</v>
      </c>
      <c r="U81" s="4484"/>
      <c r="V81" s="4484"/>
      <c r="W81" s="4484"/>
      <c r="X81" s="4484"/>
      <c r="Y81" s="4484"/>
      <c r="Z81" s="4484"/>
      <c r="AA81" s="4484"/>
      <c r="AB81" s="4485"/>
    </row>
    <row r="82" spans="1:28" s="1056" customFormat="1" ht="13.8" thickBot="1">
      <c r="A82" s="1061"/>
      <c r="B82" s="1074"/>
      <c r="C82" s="1075"/>
      <c r="D82" s="1076"/>
      <c r="E82" s="1075"/>
      <c r="F82" s="1076"/>
      <c r="G82" s="1075"/>
      <c r="H82" s="1076"/>
      <c r="I82" s="1075"/>
      <c r="J82" s="1076"/>
      <c r="K82" s="1075"/>
      <c r="L82" s="1076"/>
      <c r="M82" s="1075"/>
      <c r="N82" s="962"/>
      <c r="O82" s="965"/>
      <c r="P82" s="962"/>
      <c r="Q82" s="965"/>
      <c r="R82" s="964"/>
      <c r="S82" s="2749"/>
      <c r="T82" s="3052">
        <v>2007</v>
      </c>
      <c r="U82" s="3032"/>
      <c r="V82" s="3032">
        <v>2008</v>
      </c>
      <c r="W82" s="3032"/>
      <c r="X82" s="3032">
        <v>2009</v>
      </c>
      <c r="Y82" s="3032"/>
      <c r="Z82" s="3032">
        <v>2010</v>
      </c>
      <c r="AA82" s="3032"/>
      <c r="AB82" s="3545">
        <v>2011</v>
      </c>
    </row>
    <row r="83" spans="1:28" s="1056" customFormat="1">
      <c r="A83" s="1061" t="s">
        <v>29</v>
      </c>
      <c r="B83" s="1106">
        <v>462</v>
      </c>
      <c r="C83" s="1107"/>
      <c r="D83" s="1108">
        <v>491</v>
      </c>
      <c r="E83" s="1107"/>
      <c r="F83" s="1108">
        <v>477</v>
      </c>
      <c r="G83" s="1107"/>
      <c r="H83" s="1108">
        <v>475</v>
      </c>
      <c r="I83" s="1107"/>
      <c r="J83" s="1108">
        <v>440</v>
      </c>
      <c r="K83" s="1107"/>
      <c r="L83" s="1108">
        <v>480</v>
      </c>
      <c r="M83" s="1075"/>
      <c r="N83" s="962">
        <f>AVERAGE(B83:F83)</f>
        <v>476.66666666666669</v>
      </c>
      <c r="O83" s="963"/>
      <c r="P83" s="962">
        <f>AVERAGE(H83:L83)</f>
        <v>465</v>
      </c>
      <c r="Q83" s="963"/>
      <c r="R83" s="964">
        <f>P83-N83</f>
        <v>-11.666666666666686</v>
      </c>
      <c r="S83" s="2749"/>
      <c r="T83" s="3546">
        <f>D83/'Student Enrollment BRS VIII '!B277</f>
        <v>0.15630969056411564</v>
      </c>
      <c r="U83" s="3547"/>
      <c r="V83" s="3547">
        <f>F83/'Student Enrollment BRS VIII '!D277</f>
        <v>0.15497579518502874</v>
      </c>
      <c r="W83" s="3547"/>
      <c r="X83" s="3547">
        <f>H83/'Student Enrollment BRS VIII '!F277</f>
        <v>0.14823367869179876</v>
      </c>
      <c r="Y83" s="3547"/>
      <c r="Z83" s="3547">
        <f>J83/'Student Enrollment BRS VIII '!H277</f>
        <v>0.12941176470588237</v>
      </c>
      <c r="AA83" s="3547"/>
      <c r="AB83" s="3548">
        <f>L83/'Student Enrollment BRS VIII '!J277</f>
        <v>0.13490725126475547</v>
      </c>
    </row>
    <row r="84" spans="1:28" s="1056" customFormat="1">
      <c r="A84" s="1061"/>
      <c r="B84" s="1106"/>
      <c r="C84" s="1107"/>
      <c r="D84" s="1108"/>
      <c r="E84" s="1107"/>
      <c r="F84" s="1108"/>
      <c r="G84" s="1107"/>
      <c r="H84" s="1108"/>
      <c r="I84" s="1107"/>
      <c r="J84" s="1108"/>
      <c r="K84" s="1107"/>
      <c r="L84" s="1108"/>
      <c r="M84" s="1075"/>
      <c r="N84" s="962"/>
      <c r="O84" s="965"/>
      <c r="P84" s="962"/>
      <c r="Q84" s="965"/>
      <c r="R84" s="964"/>
      <c r="S84" s="2749"/>
      <c r="T84" s="3549"/>
      <c r="U84" s="3550"/>
      <c r="V84" s="3550"/>
      <c r="W84" s="3551"/>
      <c r="X84" s="3550"/>
      <c r="Y84" s="3550"/>
      <c r="Z84" s="3550"/>
      <c r="AA84" s="3550"/>
      <c r="AB84" s="3552"/>
    </row>
    <row r="85" spans="1:28" s="1056" customFormat="1">
      <c r="A85" s="1061" t="s">
        <v>30</v>
      </c>
      <c r="B85" s="1106">
        <v>127</v>
      </c>
      <c r="C85" s="1107"/>
      <c r="D85" s="1108">
        <v>92</v>
      </c>
      <c r="E85" s="1107"/>
      <c r="F85" s="1108">
        <v>125</v>
      </c>
      <c r="G85" s="1107"/>
      <c r="H85" s="1108">
        <v>114</v>
      </c>
      <c r="I85" s="1107"/>
      <c r="J85" s="1108">
        <v>99</v>
      </c>
      <c r="K85" s="1107"/>
      <c r="L85" s="1108">
        <v>106</v>
      </c>
      <c r="M85" s="1075"/>
      <c r="N85" s="962">
        <f>AVERAGE(B85:F85)</f>
        <v>114.66666666666667</v>
      </c>
      <c r="O85" s="963"/>
      <c r="P85" s="962">
        <f>AVERAGE(H85:L85)</f>
        <v>106.33333333333333</v>
      </c>
      <c r="Q85" s="963"/>
      <c r="R85" s="964">
        <f>P85-N85</f>
        <v>-8.3333333333333428</v>
      </c>
      <c r="S85" s="2749"/>
      <c r="T85" s="3546">
        <f>D85/'Student Enrollment BRS VIII '!B281</f>
        <v>0.33454545454545453</v>
      </c>
      <c r="U85" s="3547"/>
      <c r="V85" s="3547">
        <f>F85/'Student Enrollment BRS VIII '!D281</f>
        <v>0.4833720030935808</v>
      </c>
      <c r="W85" s="3547"/>
      <c r="X85" s="3547">
        <f>H85/'Student Enrollment BRS VIII '!F281</f>
        <v>0.4248975027953783</v>
      </c>
      <c r="Y85" s="3547"/>
      <c r="Z85" s="3547">
        <f>J85/'Student Enrollment BRS VIII '!H281</f>
        <v>0.41353383458646614</v>
      </c>
      <c r="AA85" s="3547"/>
      <c r="AB85" s="3548">
        <f>L85/'Student Enrollment BRS VIII '!J281</f>
        <v>0.52088452088452086</v>
      </c>
    </row>
    <row r="86" spans="1:28" s="1056" customFormat="1">
      <c r="A86" s="1061"/>
      <c r="B86" s="1106"/>
      <c r="C86" s="1107"/>
      <c r="D86" s="1108"/>
      <c r="E86" s="1107"/>
      <c r="F86" s="1108"/>
      <c r="G86" s="1107"/>
      <c r="H86" s="1108"/>
      <c r="I86" s="1107"/>
      <c r="J86" s="1108"/>
      <c r="K86" s="1107"/>
      <c r="L86" s="1108"/>
      <c r="M86" s="1075"/>
      <c r="N86" s="962"/>
      <c r="O86" s="965"/>
      <c r="P86" s="962"/>
      <c r="Q86" s="965"/>
      <c r="R86" s="964"/>
      <c r="S86" s="2749"/>
      <c r="T86" s="3549"/>
      <c r="U86" s="3550"/>
      <c r="V86" s="3550"/>
      <c r="W86" s="3551"/>
      <c r="X86" s="3550"/>
      <c r="Y86" s="3550"/>
      <c r="Z86" s="3550"/>
      <c r="AA86" s="3550"/>
      <c r="AB86" s="3552"/>
    </row>
    <row r="87" spans="1:28" s="1056" customFormat="1" ht="13.8" thickBot="1">
      <c r="A87" s="1062" t="s">
        <v>31</v>
      </c>
      <c r="B87" s="1110">
        <v>0</v>
      </c>
      <c r="C87" s="1109"/>
      <c r="D87" s="1111">
        <v>0</v>
      </c>
      <c r="E87" s="1109"/>
      <c r="F87" s="1111">
        <v>0</v>
      </c>
      <c r="G87" s="1109"/>
      <c r="H87" s="1111">
        <v>0</v>
      </c>
      <c r="I87" s="1109"/>
      <c r="J87" s="1111">
        <v>0</v>
      </c>
      <c r="K87" s="1109"/>
      <c r="L87" s="1111">
        <v>0</v>
      </c>
      <c r="M87" s="1077"/>
      <c r="N87" s="966">
        <f>AVERAGE(B87:F87)</f>
        <v>0</v>
      </c>
      <c r="O87" s="967"/>
      <c r="P87" s="966">
        <f>AVERAGE(H87:L87)</f>
        <v>0</v>
      </c>
      <c r="Q87" s="967"/>
      <c r="R87" s="968">
        <f>P87-N87</f>
        <v>0</v>
      </c>
      <c r="S87" s="2749"/>
      <c r="T87" s="3556"/>
      <c r="U87" s="3557"/>
      <c r="V87" s="3558"/>
      <c r="W87" s="3559"/>
      <c r="X87" s="3558"/>
      <c r="Y87" s="3557"/>
      <c r="Z87" s="3558"/>
      <c r="AA87" s="3557"/>
      <c r="AB87" s="3560"/>
    </row>
    <row r="88" spans="1:28" s="1056" customFormat="1" ht="14.4" thickTop="1" thickBot="1">
      <c r="A88" s="1060" t="s">
        <v>32</v>
      </c>
      <c r="B88" s="1068">
        <f>SUM(B79:B87)</f>
        <v>589</v>
      </c>
      <c r="C88" s="1070"/>
      <c r="D88" s="1069">
        <f>SUM(D79:D87)</f>
        <v>583</v>
      </c>
      <c r="E88" s="1070"/>
      <c r="F88" s="1069">
        <f>SUM(F79:F87)</f>
        <v>602</v>
      </c>
      <c r="G88" s="1070"/>
      <c r="H88" s="1069">
        <f>SUM(H79:H87)</f>
        <v>589</v>
      </c>
      <c r="I88" s="1070"/>
      <c r="J88" s="1069">
        <f>SUM(J79:J87)</f>
        <v>539</v>
      </c>
      <c r="K88" s="1070"/>
      <c r="L88" s="1069">
        <f>SUM(L79:L87)</f>
        <v>586</v>
      </c>
      <c r="M88" s="1070"/>
      <c r="N88" s="969">
        <f>AVERAGE(B88:F88)</f>
        <v>591.33333333333337</v>
      </c>
      <c r="O88" s="970"/>
      <c r="P88" s="969">
        <f>AVERAGE(H88:L88)</f>
        <v>571.33333333333337</v>
      </c>
      <c r="Q88" s="970"/>
      <c r="R88" s="971">
        <f>P88-N88</f>
        <v>-20</v>
      </c>
      <c r="S88" s="2749"/>
      <c r="T88" s="3553">
        <f>D88/('Student Enrollment BRS VIII '!B277+'Student Enrollment BRS VIII '!B281)</f>
        <v>0.17065745565247936</v>
      </c>
      <c r="U88" s="3554"/>
      <c r="V88" s="3554">
        <f>F88/('Student Enrollment BRS VIII '!D277+'Student Enrollment BRS VIII '!D281)</f>
        <v>0.18042859283680504</v>
      </c>
      <c r="W88" s="3554"/>
      <c r="X88" s="3554">
        <f>H88/('Student Enrollment BRS VIII '!F277+'Student Enrollment BRS VIII '!F281)</f>
        <v>0.16960866184812967</v>
      </c>
      <c r="Y88" s="3554"/>
      <c r="Z88" s="3554">
        <f>J88/('Student Enrollment BRS VIII '!H277+'Student Enrollment BRS VIII '!H281)</f>
        <v>0.14810133538495357</v>
      </c>
      <c r="AA88" s="3554"/>
      <c r="AB88" s="3555">
        <f>L88/('Student Enrollment BRS VIII '!J277+'Student Enrollment BRS VIII '!J281)</f>
        <v>0.15578891399707565</v>
      </c>
    </row>
    <row r="89" spans="1:28" s="1084" customFormat="1" ht="13.8" thickBot="1">
      <c r="A89" s="1087"/>
      <c r="F89" s="1085"/>
      <c r="N89" s="957"/>
      <c r="O89" s="957"/>
      <c r="P89" s="957"/>
      <c r="Q89" s="957"/>
      <c r="R89" s="957"/>
      <c r="S89" s="2749"/>
      <c r="T89" s="3244"/>
      <c r="W89" s="3260"/>
    </row>
    <row r="90" spans="1:28" s="1086" customFormat="1" ht="27" thickBot="1">
      <c r="A90" s="3076" t="s">
        <v>485</v>
      </c>
      <c r="B90" s="1092" t="s">
        <v>2</v>
      </c>
      <c r="C90" s="1093"/>
      <c r="D90" s="1094" t="s">
        <v>3</v>
      </c>
      <c r="E90" s="1093"/>
      <c r="F90" s="1095" t="s">
        <v>4</v>
      </c>
      <c r="G90" s="1093"/>
      <c r="H90" s="1091" t="s">
        <v>5</v>
      </c>
      <c r="I90" s="1093"/>
      <c r="J90" s="1091" t="s">
        <v>6</v>
      </c>
      <c r="K90" s="1093"/>
      <c r="L90" s="1091" t="s">
        <v>7</v>
      </c>
      <c r="M90" s="1093"/>
      <c r="N90" s="959" t="s">
        <v>33</v>
      </c>
      <c r="O90" s="960"/>
      <c r="P90" s="959" t="s">
        <v>34</v>
      </c>
      <c r="Q90" s="960"/>
      <c r="R90" s="961" t="s">
        <v>35</v>
      </c>
      <c r="S90" s="3239"/>
      <c r="T90" s="3245"/>
      <c r="W90" s="3521"/>
    </row>
    <row r="91" spans="1:28" s="1084" customFormat="1">
      <c r="A91" s="1089" t="s">
        <v>28</v>
      </c>
      <c r="B91" s="1099"/>
      <c r="C91" s="1100"/>
      <c r="D91" s="1101"/>
      <c r="E91" s="1100"/>
      <c r="F91" s="1101"/>
      <c r="G91" s="1100"/>
      <c r="H91" s="1101"/>
      <c r="I91" s="1100"/>
      <c r="J91" s="1101"/>
      <c r="K91" s="1100"/>
      <c r="L91" s="1101"/>
      <c r="M91" s="1100"/>
      <c r="N91" s="962"/>
      <c r="O91" s="963"/>
      <c r="P91" s="962"/>
      <c r="Q91" s="963"/>
      <c r="R91" s="964"/>
      <c r="S91" s="2749"/>
      <c r="T91" s="3244"/>
      <c r="W91" s="3260"/>
    </row>
    <row r="92" spans="1:28" s="1084" customFormat="1" ht="13.8" thickBot="1">
      <c r="A92" s="1089"/>
      <c r="B92" s="1099"/>
      <c r="C92" s="1100"/>
      <c r="D92" s="1101"/>
      <c r="E92" s="1100"/>
      <c r="F92" s="1101"/>
      <c r="G92" s="1100"/>
      <c r="H92" s="1101"/>
      <c r="I92" s="1100"/>
      <c r="J92" s="1101"/>
      <c r="K92" s="1100"/>
      <c r="L92" s="1101"/>
      <c r="M92" s="1100"/>
      <c r="N92" s="962"/>
      <c r="O92" s="963"/>
      <c r="P92" s="962"/>
      <c r="Q92" s="963"/>
      <c r="R92" s="964"/>
      <c r="S92" s="2749"/>
      <c r="T92" s="3244"/>
      <c r="W92" s="3260"/>
    </row>
    <row r="93" spans="1:28" s="1084" customFormat="1">
      <c r="A93" s="1089" t="s">
        <v>65</v>
      </c>
      <c r="B93" s="1102"/>
      <c r="C93" s="1103"/>
      <c r="D93" s="1104"/>
      <c r="E93" s="1103"/>
      <c r="F93" s="1104"/>
      <c r="G93" s="1103"/>
      <c r="H93" s="1104"/>
      <c r="I93" s="1103"/>
      <c r="J93" s="1104"/>
      <c r="K93" s="1103"/>
      <c r="L93" s="1104"/>
      <c r="M93" s="1103"/>
      <c r="N93" s="962"/>
      <c r="O93" s="963"/>
      <c r="P93" s="962"/>
      <c r="Q93" s="963"/>
      <c r="R93" s="964"/>
      <c r="S93" s="2749"/>
      <c r="T93" s="4483" t="s">
        <v>365</v>
      </c>
      <c r="U93" s="4484"/>
      <c r="V93" s="4484"/>
      <c r="W93" s="4484"/>
      <c r="X93" s="4484"/>
      <c r="Y93" s="4484"/>
      <c r="Z93" s="4484"/>
      <c r="AA93" s="4484"/>
      <c r="AB93" s="4485"/>
    </row>
    <row r="94" spans="1:28" s="1084" customFormat="1" ht="13.8" thickBot="1">
      <c r="A94" s="1089"/>
      <c r="B94" s="1102"/>
      <c r="C94" s="1103"/>
      <c r="D94" s="1104"/>
      <c r="E94" s="1103"/>
      <c r="F94" s="1104"/>
      <c r="G94" s="1103"/>
      <c r="H94" s="1104"/>
      <c r="I94" s="1103"/>
      <c r="J94" s="1104"/>
      <c r="K94" s="1103"/>
      <c r="L94" s="1104"/>
      <c r="M94" s="1103"/>
      <c r="N94" s="962"/>
      <c r="O94" s="965"/>
      <c r="P94" s="962"/>
      <c r="Q94" s="965"/>
      <c r="R94" s="964"/>
      <c r="S94" s="2749"/>
      <c r="T94" s="3052">
        <v>2007</v>
      </c>
      <c r="U94" s="3032"/>
      <c r="V94" s="3032">
        <v>2008</v>
      </c>
      <c r="W94" s="3032"/>
      <c r="X94" s="3032">
        <v>2009</v>
      </c>
      <c r="Y94" s="3032"/>
      <c r="Z94" s="3032">
        <v>2010</v>
      </c>
      <c r="AA94" s="3032"/>
      <c r="AB94" s="3545">
        <v>2011</v>
      </c>
    </row>
    <row r="95" spans="1:28" s="1084" customFormat="1">
      <c r="A95" s="1089" t="s">
        <v>29</v>
      </c>
      <c r="B95" s="1136">
        <v>2532</v>
      </c>
      <c r="C95" s="1134"/>
      <c r="D95" s="1137">
        <v>2534</v>
      </c>
      <c r="E95" s="1134"/>
      <c r="F95" s="1137">
        <v>2590</v>
      </c>
      <c r="G95" s="1134"/>
      <c r="H95" s="1137">
        <v>2821</v>
      </c>
      <c r="I95" s="1134"/>
      <c r="J95" s="1137">
        <v>2841</v>
      </c>
      <c r="K95" s="1134"/>
      <c r="L95" s="1137">
        <v>3065</v>
      </c>
      <c r="M95" s="1103"/>
      <c r="N95" s="962">
        <f>AVERAGE(B95:F95)</f>
        <v>2552</v>
      </c>
      <c r="O95" s="963"/>
      <c r="P95" s="962">
        <f>AVERAGE(H95:L95)</f>
        <v>2909</v>
      </c>
      <c r="Q95" s="963"/>
      <c r="R95" s="964">
        <f>P95-N95</f>
        <v>357</v>
      </c>
      <c r="S95" s="2749"/>
      <c r="T95" s="3546">
        <f>D95/'Student Enrollment BRS VIII '!B349</f>
        <v>0.16345929934403408</v>
      </c>
      <c r="U95" s="3547"/>
      <c r="V95" s="3547">
        <f>F95/'Student Enrollment BRS VIII '!D349</f>
        <v>0.16527259129555844</v>
      </c>
      <c r="W95" s="3547"/>
      <c r="X95" s="3547">
        <f>H95/'Student Enrollment BRS VIII '!F349</f>
        <v>0.17525636135240011</v>
      </c>
      <c r="Y95" s="3547"/>
      <c r="Z95" s="3547">
        <f>J95/'Student Enrollment BRS VIII '!H349</f>
        <v>0.16929740088861769</v>
      </c>
      <c r="AA95" s="3547"/>
      <c r="AB95" s="3548">
        <f>L95/'Student Enrollment BRS VIII '!J349</f>
        <v>0.18039832420845453</v>
      </c>
    </row>
    <row r="96" spans="1:28" s="1084" customFormat="1">
      <c r="A96" s="1089"/>
      <c r="B96" s="1136"/>
      <c r="C96" s="1134"/>
      <c r="D96" s="1137"/>
      <c r="E96" s="1134"/>
      <c r="F96" s="1137"/>
      <c r="G96" s="1134"/>
      <c r="H96" s="1137"/>
      <c r="I96" s="1134"/>
      <c r="J96" s="1137"/>
      <c r="K96" s="1134"/>
      <c r="L96" s="1137"/>
      <c r="M96" s="1103"/>
      <c r="N96" s="962"/>
      <c r="O96" s="965"/>
      <c r="P96" s="962"/>
      <c r="Q96" s="965"/>
      <c r="R96" s="964"/>
      <c r="S96" s="2749"/>
      <c r="T96" s="3549"/>
      <c r="U96" s="3550"/>
      <c r="V96" s="3550"/>
      <c r="W96" s="3551"/>
      <c r="X96" s="3550"/>
      <c r="Y96" s="3550"/>
      <c r="Z96" s="3550"/>
      <c r="AA96" s="3550"/>
      <c r="AB96" s="3552"/>
    </row>
    <row r="97" spans="1:28" s="1084" customFormat="1">
      <c r="A97" s="1089" t="s">
        <v>30</v>
      </c>
      <c r="B97" s="1136">
        <v>1010</v>
      </c>
      <c r="C97" s="1134"/>
      <c r="D97" s="1137">
        <v>1096</v>
      </c>
      <c r="E97" s="1134"/>
      <c r="F97" s="1137">
        <v>1229</v>
      </c>
      <c r="G97" s="1134"/>
      <c r="H97" s="1137">
        <v>1150</v>
      </c>
      <c r="I97" s="1134"/>
      <c r="J97" s="1137">
        <v>1217</v>
      </c>
      <c r="K97" s="1134"/>
      <c r="L97" s="1137">
        <v>1256</v>
      </c>
      <c r="M97" s="1103"/>
      <c r="N97" s="962">
        <f>AVERAGE(B97:F97)</f>
        <v>1111.6666666666667</v>
      </c>
      <c r="O97" s="963"/>
      <c r="P97" s="962">
        <f>AVERAGE(H97:L97)</f>
        <v>1207.6666666666667</v>
      </c>
      <c r="Q97" s="963"/>
      <c r="R97" s="964">
        <f>P97-N97</f>
        <v>96</v>
      </c>
      <c r="S97" s="2749"/>
      <c r="T97" s="3546">
        <f>(D97+D99)/('Student Enrollment BRS VIII '!B353+'Student Enrollment BRS VIII '!B357)</f>
        <v>0.35606903941988577</v>
      </c>
      <c r="U97" s="3547"/>
      <c r="V97" s="3547">
        <f>(F97+F99)/('Student Enrollment BRS VIII '!D353+'Student Enrollment BRS VIII '!D357)</f>
        <v>0.37931748090793915</v>
      </c>
      <c r="W97" s="3547"/>
      <c r="X97" s="3547">
        <f>(H97+H99)/('Student Enrollment BRS VIII '!F353+'Student Enrollment BRS VIII '!F357)</f>
        <v>0.35516969218626676</v>
      </c>
      <c r="Y97" s="3547"/>
      <c r="Z97" s="3547">
        <f>(J97+J99)/('Student Enrollment BRS VIII '!H353+'Student Enrollment BRS VIII '!H357)</f>
        <v>0.37499937080642487</v>
      </c>
      <c r="AA97" s="3547"/>
      <c r="AB97" s="3548">
        <f>(L97+L99)/('Student Enrollment BRS VIII '!J353+'Student Enrollment BRS VIII '!J357)</f>
        <v>0.38121735238318066</v>
      </c>
    </row>
    <row r="98" spans="1:28" s="1084" customFormat="1">
      <c r="A98" s="1089"/>
      <c r="B98" s="1136"/>
      <c r="C98" s="1134"/>
      <c r="D98" s="1137"/>
      <c r="E98" s="1134"/>
      <c r="F98" s="1137"/>
      <c r="G98" s="1134"/>
      <c r="H98" s="1137"/>
      <c r="I98" s="1134"/>
      <c r="J98" s="1137"/>
      <c r="K98" s="1134"/>
      <c r="L98" s="1137"/>
      <c r="M98" s="1103"/>
      <c r="N98" s="962"/>
      <c r="O98" s="965"/>
      <c r="P98" s="962"/>
      <c r="Q98" s="965"/>
      <c r="R98" s="964"/>
      <c r="S98" s="2749"/>
      <c r="T98" s="3549"/>
      <c r="U98" s="3550"/>
      <c r="V98" s="3550"/>
      <c r="W98" s="3551"/>
      <c r="X98" s="3550"/>
      <c r="Y98" s="3550"/>
      <c r="Z98" s="3550"/>
      <c r="AA98" s="3550"/>
      <c r="AB98" s="3552"/>
    </row>
    <row r="99" spans="1:28" s="1084" customFormat="1" ht="13.8" thickBot="1">
      <c r="A99" s="1090" t="s">
        <v>31</v>
      </c>
      <c r="B99" s="1138">
        <v>249</v>
      </c>
      <c r="C99" s="1135"/>
      <c r="D99" s="1139">
        <v>273</v>
      </c>
      <c r="E99" s="1135"/>
      <c r="F99" s="1139">
        <v>274</v>
      </c>
      <c r="G99" s="1135"/>
      <c r="H99" s="1139">
        <v>272</v>
      </c>
      <c r="I99" s="1135"/>
      <c r="J99" s="1139">
        <v>273</v>
      </c>
      <c r="K99" s="1135"/>
      <c r="L99" s="1139">
        <v>243</v>
      </c>
      <c r="M99" s="1105"/>
      <c r="N99" s="966">
        <f>AVERAGE(B99:F99)</f>
        <v>265.33333333333331</v>
      </c>
      <c r="O99" s="967"/>
      <c r="P99" s="966">
        <f>AVERAGE(H99:L99)</f>
        <v>262.66666666666669</v>
      </c>
      <c r="Q99" s="967"/>
      <c r="R99" s="968">
        <f>P99-N99</f>
        <v>-2.6666666666666288</v>
      </c>
      <c r="S99" s="2749"/>
      <c r="T99" s="3556"/>
      <c r="U99" s="3557"/>
      <c r="V99" s="3558"/>
      <c r="W99" s="3559"/>
      <c r="X99" s="3558"/>
      <c r="Y99" s="3557"/>
      <c r="Z99" s="3558"/>
      <c r="AA99" s="3557"/>
      <c r="AB99" s="3560"/>
    </row>
    <row r="100" spans="1:28" s="1084" customFormat="1" ht="14.4" thickTop="1" thickBot="1">
      <c r="A100" s="1088" t="s">
        <v>32</v>
      </c>
      <c r="B100" s="1096">
        <f>SUM(B91:B99)</f>
        <v>3791</v>
      </c>
      <c r="C100" s="1098"/>
      <c r="D100" s="1097">
        <f>SUM(D91:D99)</f>
        <v>3903</v>
      </c>
      <c r="E100" s="1098"/>
      <c r="F100" s="1097">
        <f>SUM(F91:F99)</f>
        <v>4093</v>
      </c>
      <c r="G100" s="1098"/>
      <c r="H100" s="1097">
        <f>SUM(H91:H99)</f>
        <v>4243</v>
      </c>
      <c r="I100" s="1098"/>
      <c r="J100" s="1097">
        <f>SUM(J91:J99)</f>
        <v>4331</v>
      </c>
      <c r="K100" s="1098"/>
      <c r="L100" s="1097">
        <f>SUM(L91:L99)</f>
        <v>4564</v>
      </c>
      <c r="M100" s="1098"/>
      <c r="N100" s="969">
        <f>AVERAGE(B100:F100)</f>
        <v>3929</v>
      </c>
      <c r="O100" s="970"/>
      <c r="P100" s="969">
        <f>AVERAGE(H100:L100)</f>
        <v>4379.333333333333</v>
      </c>
      <c r="Q100" s="970"/>
      <c r="R100" s="971">
        <f>P100-N100</f>
        <v>450.33333333333303</v>
      </c>
      <c r="S100" s="2749"/>
      <c r="T100" s="3553">
        <f>D100/('Student Enrollment BRS VIII '!B349+'Student Enrollment BRS VIII '!B353+'Student Enrollment BRS VIII '!B357)</f>
        <v>0.20173576491348316</v>
      </c>
      <c r="U100" s="3554"/>
      <c r="V100" s="3554">
        <f>F100/('Student Enrollment BRS VIII '!D349+'Student Enrollment BRS VIII '!D353+'Student Enrollment BRS VIII '!D357)</f>
        <v>0.20847064144577673</v>
      </c>
      <c r="W100" s="3554"/>
      <c r="X100" s="3554">
        <f>H100/('Student Enrollment BRS VIII '!F349+'Student Enrollment BRS VIII '!F353+'Student Enrollment BRS VIII '!F357)</f>
        <v>0.21109305706328416</v>
      </c>
      <c r="Y100" s="3554"/>
      <c r="Z100" s="3554">
        <f>J100/('Student Enrollment BRS VIII '!H349+'Student Enrollment BRS VIII '!H353+'Student Enrollment BRS VIII '!H357)</f>
        <v>0.20867803835898405</v>
      </c>
      <c r="AA100" s="3554"/>
      <c r="AB100" s="3555">
        <f>L100/('Student Enrollment BRS VIII '!J349+'Student Enrollment BRS VIII '!J353+'Student Enrollment BRS VIII '!J357)</f>
        <v>0.21814024448531522</v>
      </c>
    </row>
    <row r="101" spans="1:28" s="1843" customFormat="1" ht="13.8" thickBot="1">
      <c r="A101" s="1848"/>
      <c r="F101" s="1844"/>
      <c r="N101" s="957"/>
      <c r="O101" s="957"/>
      <c r="P101" s="957"/>
      <c r="Q101" s="957"/>
      <c r="R101" s="957"/>
      <c r="S101" s="2749"/>
      <c r="T101" s="3244"/>
      <c r="W101" s="3260"/>
    </row>
    <row r="102" spans="1:28" s="1847" customFormat="1" ht="27" thickBot="1">
      <c r="A102" s="442" t="s">
        <v>201</v>
      </c>
      <c r="B102" s="1853" t="s">
        <v>2</v>
      </c>
      <c r="C102" s="1854"/>
      <c r="D102" s="1855" t="s">
        <v>3</v>
      </c>
      <c r="E102" s="1854"/>
      <c r="F102" s="1856" t="s">
        <v>4</v>
      </c>
      <c r="G102" s="1854"/>
      <c r="H102" s="1852" t="s">
        <v>5</v>
      </c>
      <c r="I102" s="1854"/>
      <c r="J102" s="1852" t="s">
        <v>6</v>
      </c>
      <c r="K102" s="1854"/>
      <c r="L102" s="1852" t="s">
        <v>7</v>
      </c>
      <c r="M102" s="1854"/>
      <c r="N102" s="959" t="s">
        <v>33</v>
      </c>
      <c r="O102" s="960"/>
      <c r="P102" s="959" t="s">
        <v>34</v>
      </c>
      <c r="Q102" s="960"/>
      <c r="R102" s="961" t="s">
        <v>35</v>
      </c>
      <c r="S102" s="3239"/>
      <c r="T102" s="3245"/>
      <c r="W102" s="3521"/>
    </row>
    <row r="103" spans="1:28" s="1843" customFormat="1">
      <c r="A103" s="1850" t="s">
        <v>28</v>
      </c>
      <c r="B103" s="1860"/>
      <c r="C103" s="1861"/>
      <c r="D103" s="1862"/>
      <c r="E103" s="1861"/>
      <c r="F103" s="1862"/>
      <c r="G103" s="1861"/>
      <c r="H103" s="1862"/>
      <c r="I103" s="1861"/>
      <c r="J103" s="1862"/>
      <c r="K103" s="1861"/>
      <c r="L103" s="1862"/>
      <c r="M103" s="1861"/>
      <c r="N103" s="962"/>
      <c r="O103" s="963"/>
      <c r="P103" s="962"/>
      <c r="Q103" s="963"/>
      <c r="R103" s="964"/>
      <c r="S103" s="2749"/>
      <c r="T103" s="3244"/>
      <c r="W103" s="3260"/>
    </row>
    <row r="104" spans="1:28" s="1843" customFormat="1" ht="13.8" thickBot="1">
      <c r="A104" s="1850"/>
      <c r="B104" s="1860"/>
      <c r="C104" s="1861"/>
      <c r="D104" s="1862"/>
      <c r="E104" s="1861"/>
      <c r="F104" s="1862"/>
      <c r="G104" s="1861"/>
      <c r="H104" s="1862"/>
      <c r="I104" s="1861"/>
      <c r="J104" s="1862"/>
      <c r="K104" s="1861"/>
      <c r="L104" s="1862"/>
      <c r="M104" s="1861"/>
      <c r="N104" s="962"/>
      <c r="O104" s="963"/>
      <c r="P104" s="962"/>
      <c r="Q104" s="963"/>
      <c r="R104" s="964"/>
      <c r="S104" s="2749"/>
      <c r="T104" s="3244"/>
      <c r="W104" s="3260"/>
    </row>
    <row r="105" spans="1:28" s="1843" customFormat="1">
      <c r="A105" s="1850" t="s">
        <v>65</v>
      </c>
      <c r="B105" s="1863"/>
      <c r="C105" s="1864"/>
      <c r="D105" s="1865"/>
      <c r="E105" s="1864"/>
      <c r="F105" s="1865"/>
      <c r="G105" s="1864"/>
      <c r="H105" s="1865"/>
      <c r="I105" s="1864"/>
      <c r="J105" s="1865"/>
      <c r="K105" s="1864"/>
      <c r="L105" s="1865"/>
      <c r="M105" s="1864"/>
      <c r="N105" s="962"/>
      <c r="O105" s="963"/>
      <c r="P105" s="962"/>
      <c r="Q105" s="963"/>
      <c r="R105" s="964"/>
      <c r="S105" s="2749"/>
      <c r="T105" s="4483" t="s">
        <v>365</v>
      </c>
      <c r="U105" s="4484"/>
      <c r="V105" s="4484"/>
      <c r="W105" s="4484"/>
      <c r="X105" s="4484"/>
      <c r="Y105" s="4484"/>
      <c r="Z105" s="4484"/>
      <c r="AA105" s="4484"/>
      <c r="AB105" s="4485"/>
    </row>
    <row r="106" spans="1:28" s="1843" customFormat="1" ht="13.8" thickBot="1">
      <c r="A106" s="1850"/>
      <c r="B106" s="1863"/>
      <c r="C106" s="1864"/>
      <c r="D106" s="1865"/>
      <c r="E106" s="1864"/>
      <c r="F106" s="1865"/>
      <c r="G106" s="1864"/>
      <c r="H106" s="1865"/>
      <c r="I106" s="1864"/>
      <c r="J106" s="1865"/>
      <c r="K106" s="1864"/>
      <c r="L106" s="1865"/>
      <c r="M106" s="1864"/>
      <c r="N106" s="962"/>
      <c r="O106" s="965"/>
      <c r="P106" s="962"/>
      <c r="Q106" s="965"/>
      <c r="R106" s="964"/>
      <c r="S106" s="2749"/>
      <c r="T106" s="3052">
        <v>2007</v>
      </c>
      <c r="U106" s="3032"/>
      <c r="V106" s="3032">
        <v>2008</v>
      </c>
      <c r="W106" s="3032"/>
      <c r="X106" s="3032">
        <v>2009</v>
      </c>
      <c r="Y106" s="3032"/>
      <c r="Z106" s="3032">
        <v>2010</v>
      </c>
      <c r="AA106" s="3032"/>
      <c r="AB106" s="3545">
        <v>2011</v>
      </c>
    </row>
    <row r="107" spans="1:28" s="1843" customFormat="1">
      <c r="A107" s="1850" t="s">
        <v>29</v>
      </c>
      <c r="B107" s="1958">
        <v>3832</v>
      </c>
      <c r="C107" s="1959"/>
      <c r="D107" s="1960">
        <v>3841</v>
      </c>
      <c r="E107" s="1959"/>
      <c r="F107" s="1960">
        <v>4048</v>
      </c>
      <c r="G107" s="1959"/>
      <c r="H107" s="1960">
        <v>4250</v>
      </c>
      <c r="I107" s="1959"/>
      <c r="J107" s="1960">
        <v>4382</v>
      </c>
      <c r="K107" s="1959"/>
      <c r="L107" s="1960">
        <v>4549</v>
      </c>
      <c r="M107" s="1864"/>
      <c r="N107" s="962">
        <f>AVERAGE(B107:F107)</f>
        <v>3907</v>
      </c>
      <c r="O107" s="963"/>
      <c r="P107" s="962">
        <f>AVERAGE(H107:L107)</f>
        <v>4393.666666666667</v>
      </c>
      <c r="Q107" s="963"/>
      <c r="R107" s="964">
        <f>P107-N107</f>
        <v>486.66666666666697</v>
      </c>
      <c r="S107" s="2749"/>
      <c r="T107" s="3546">
        <f>D107/'Student Enrollment BRS VIII '!B421</f>
        <v>0.1837807836401131</v>
      </c>
      <c r="U107" s="3547"/>
      <c r="V107" s="3547">
        <f>F107/'Student Enrollment BRS VIII '!D421</f>
        <v>0.19352032011167575</v>
      </c>
      <c r="W107" s="3547"/>
      <c r="X107" s="3547">
        <f>H107/'Student Enrollment BRS VIII '!F421</f>
        <v>0.20729887131861593</v>
      </c>
      <c r="Y107" s="3547"/>
      <c r="Z107" s="3547">
        <f>J107/'Student Enrollment BRS VIII '!H421</f>
        <v>0.22007714251275662</v>
      </c>
      <c r="AA107" s="3547"/>
      <c r="AB107" s="3548">
        <f>L107/'Student Enrollment BRS VIII '!J421</f>
        <v>0.23718650607435215</v>
      </c>
    </row>
    <row r="108" spans="1:28" s="1843" customFormat="1">
      <c r="A108" s="1850"/>
      <c r="B108" s="1961"/>
      <c r="C108" s="1959"/>
      <c r="D108" s="1962"/>
      <c r="E108" s="1959"/>
      <c r="F108" s="1962"/>
      <c r="G108" s="1959"/>
      <c r="H108" s="1962"/>
      <c r="I108" s="1959"/>
      <c r="J108" s="1962"/>
      <c r="K108" s="1959"/>
      <c r="L108" s="1962"/>
      <c r="M108" s="1864"/>
      <c r="N108" s="962"/>
      <c r="O108" s="965"/>
      <c r="P108" s="962"/>
      <c r="Q108" s="965"/>
      <c r="R108" s="964"/>
      <c r="S108" s="2749"/>
      <c r="T108" s="3549"/>
      <c r="U108" s="3550"/>
      <c r="V108" s="3550"/>
      <c r="W108" s="3551"/>
      <c r="X108" s="3550"/>
      <c r="Y108" s="3550"/>
      <c r="Z108" s="3550"/>
      <c r="AA108" s="3550"/>
      <c r="AB108" s="3552"/>
    </row>
    <row r="109" spans="1:28" s="1843" customFormat="1">
      <c r="A109" s="1850" t="s">
        <v>30</v>
      </c>
      <c r="B109" s="1958">
        <v>367</v>
      </c>
      <c r="C109" s="1959"/>
      <c r="D109" s="1960">
        <v>392</v>
      </c>
      <c r="E109" s="1959"/>
      <c r="F109" s="1960">
        <v>336</v>
      </c>
      <c r="G109" s="1959"/>
      <c r="H109" s="1960">
        <v>350</v>
      </c>
      <c r="I109" s="1959"/>
      <c r="J109" s="1960">
        <v>354</v>
      </c>
      <c r="K109" s="1959"/>
      <c r="L109" s="1960">
        <v>394</v>
      </c>
      <c r="M109" s="1864"/>
      <c r="N109" s="962">
        <f>AVERAGE(B109:F109)</f>
        <v>365</v>
      </c>
      <c r="O109" s="963"/>
      <c r="P109" s="962">
        <f>AVERAGE(H109:L109)</f>
        <v>366</v>
      </c>
      <c r="Q109" s="963"/>
      <c r="R109" s="964">
        <f>P109-N109</f>
        <v>1</v>
      </c>
      <c r="S109" s="2749"/>
      <c r="T109" s="3546">
        <f>(D109+D111)/('Student Enrollment BRS VIII '!B425+'Student Enrollment BRS VIII '!B429)</f>
        <v>0.28718671541206003</v>
      </c>
      <c r="U109" s="3547"/>
      <c r="V109" s="3547">
        <f>(F109+F111)/('Student Enrollment BRS VIII '!D425+'Student Enrollment BRS VIII '!D429)</f>
        <v>0.25973460952795302</v>
      </c>
      <c r="W109" s="3547"/>
      <c r="X109" s="3547">
        <f>(H109+H111)/('Student Enrollment BRS VIII '!F425+'Student Enrollment BRS VIII '!F429)</f>
        <v>0.25153981995951247</v>
      </c>
      <c r="Y109" s="3547"/>
      <c r="Z109" s="3547">
        <f>(J109+J111)/('Student Enrollment BRS VIII '!H425+'Student Enrollment BRS VIII '!H429)</f>
        <v>0.24806009575697538</v>
      </c>
      <c r="AA109" s="3547"/>
      <c r="AB109" s="3548">
        <f>(L109+L111)/('Student Enrollment BRS VIII '!J425+'Student Enrollment BRS VIII '!J429)</f>
        <v>0.27832750852667482</v>
      </c>
    </row>
    <row r="110" spans="1:28" s="1843" customFormat="1">
      <c r="A110" s="1850"/>
      <c r="B110" s="1961"/>
      <c r="C110" s="1959"/>
      <c r="D110" s="1962"/>
      <c r="E110" s="1959"/>
      <c r="F110" s="1962"/>
      <c r="G110" s="1959"/>
      <c r="H110" s="1962"/>
      <c r="I110" s="1959"/>
      <c r="J110" s="1962"/>
      <c r="K110" s="1959"/>
      <c r="L110" s="1962"/>
      <c r="M110" s="1864"/>
      <c r="N110" s="962"/>
      <c r="O110" s="965"/>
      <c r="P110" s="962"/>
      <c r="Q110" s="965"/>
      <c r="R110" s="964"/>
      <c r="S110" s="2749"/>
      <c r="T110" s="3549"/>
      <c r="U110" s="3550"/>
      <c r="V110" s="3550"/>
      <c r="W110" s="3551"/>
      <c r="X110" s="3550"/>
      <c r="Y110" s="3550"/>
      <c r="Z110" s="3550"/>
      <c r="AA110" s="3550"/>
      <c r="AB110" s="3552"/>
    </row>
    <row r="111" spans="1:28" s="1843" customFormat="1" ht="13.8" thickBot="1">
      <c r="A111" s="1851" t="s">
        <v>31</v>
      </c>
      <c r="B111" s="1963">
        <v>242</v>
      </c>
      <c r="C111" s="1964"/>
      <c r="D111" s="1965">
        <v>260</v>
      </c>
      <c r="E111" s="1964"/>
      <c r="F111" s="1965">
        <v>261</v>
      </c>
      <c r="G111" s="1964"/>
      <c r="H111" s="1965">
        <v>234</v>
      </c>
      <c r="I111" s="1964"/>
      <c r="J111" s="1965">
        <v>247</v>
      </c>
      <c r="K111" s="1964"/>
      <c r="L111" s="1965">
        <v>267</v>
      </c>
      <c r="M111" s="1866"/>
      <c r="N111" s="966">
        <f>AVERAGE(B111:F111)</f>
        <v>254.33333333333334</v>
      </c>
      <c r="O111" s="967"/>
      <c r="P111" s="966">
        <f>AVERAGE(H111:L111)</f>
        <v>249.33333333333334</v>
      </c>
      <c r="Q111" s="967"/>
      <c r="R111" s="968">
        <f>P111-N111</f>
        <v>-5</v>
      </c>
      <c r="S111" s="2749"/>
      <c r="T111" s="3556"/>
      <c r="U111" s="3557"/>
      <c r="V111" s="3558"/>
      <c r="W111" s="3559"/>
      <c r="X111" s="3558"/>
      <c r="Y111" s="3557"/>
      <c r="Z111" s="3558"/>
      <c r="AA111" s="3557"/>
      <c r="AB111" s="3560"/>
    </row>
    <row r="112" spans="1:28" s="1843" customFormat="1" ht="14.4" thickTop="1" thickBot="1">
      <c r="A112" s="1849" t="s">
        <v>32</v>
      </c>
      <c r="B112" s="1857">
        <f>SUM(B103:B111)</f>
        <v>4441</v>
      </c>
      <c r="C112" s="1859"/>
      <c r="D112" s="1858">
        <f>SUM(D103:D111)</f>
        <v>4493</v>
      </c>
      <c r="E112" s="1859"/>
      <c r="F112" s="1858">
        <f>SUM(F103:F111)</f>
        <v>4645</v>
      </c>
      <c r="G112" s="1859"/>
      <c r="H112" s="1858">
        <f>SUM(H103:H111)</f>
        <v>4834</v>
      </c>
      <c r="I112" s="1859"/>
      <c r="J112" s="1858">
        <f>SUM(J103:J111)</f>
        <v>4983</v>
      </c>
      <c r="K112" s="1859"/>
      <c r="L112" s="1858">
        <f>SUM(L103:L111)</f>
        <v>5210</v>
      </c>
      <c r="M112" s="1859"/>
      <c r="N112" s="969">
        <f>AVERAGE(B112:F112)</f>
        <v>4526.333333333333</v>
      </c>
      <c r="O112" s="970"/>
      <c r="P112" s="969">
        <f>AVERAGE(H112:L112)</f>
        <v>5009</v>
      </c>
      <c r="Q112" s="970"/>
      <c r="R112" s="971">
        <f>P112-N112</f>
        <v>482.66666666666697</v>
      </c>
      <c r="S112" s="2749"/>
      <c r="T112" s="3553">
        <f>D112/('Student Enrollment BRS VIII '!B421+'Student Enrollment BRS VIII '!B425+'Student Enrollment BRS VIII '!B429)</f>
        <v>0.19391287084272038</v>
      </c>
      <c r="U112" s="3554"/>
      <c r="V112" s="3554">
        <f>F112/('Student Enrollment BRS VIII '!D421+'Student Enrollment BRS VIII '!D425+'Student Enrollment BRS VIII '!D429)</f>
        <v>0.20007580913327763</v>
      </c>
      <c r="W112" s="3554"/>
      <c r="X112" s="3554">
        <f>H112/('Student Enrollment BRS VIII '!F421+'Student Enrollment BRS VIII '!F425+'Student Enrollment BRS VIII '!F429)</f>
        <v>0.21179924200933253</v>
      </c>
      <c r="Y112" s="3554"/>
      <c r="Z112" s="3554">
        <f>J112/('Student Enrollment BRS VIII '!H421+'Student Enrollment BRS VIII '!H425+'Student Enrollment BRS VIII '!H429)</f>
        <v>0.22311274290319691</v>
      </c>
      <c r="AA112" s="3554"/>
      <c r="AB112" s="3555">
        <f>L112/('Student Enrollment BRS VIII '!J421+'Student Enrollment BRS VIII '!J425+'Student Enrollment BRS VIII '!J429)</f>
        <v>0.24171959598958886</v>
      </c>
    </row>
    <row r="113" spans="1:28" s="1947" customFormat="1" ht="13.8" thickBot="1">
      <c r="A113" s="1952"/>
      <c r="F113" s="1951"/>
      <c r="N113" s="957"/>
      <c r="O113" s="957"/>
      <c r="P113" s="957"/>
      <c r="Q113" s="957"/>
      <c r="R113" s="957"/>
      <c r="S113" s="2749"/>
      <c r="T113" s="3244"/>
      <c r="W113" s="3260"/>
    </row>
    <row r="114" spans="1:28" s="1948" customFormat="1" ht="27" thickBot="1">
      <c r="A114" s="442" t="s">
        <v>204</v>
      </c>
      <c r="B114" s="1953" t="s">
        <v>2</v>
      </c>
      <c r="C114" s="1954"/>
      <c r="D114" s="1955" t="s">
        <v>3</v>
      </c>
      <c r="E114" s="1954"/>
      <c r="F114" s="1956" t="s">
        <v>4</v>
      </c>
      <c r="G114" s="1954"/>
      <c r="H114" s="1957" t="s">
        <v>5</v>
      </c>
      <c r="I114" s="1954"/>
      <c r="J114" s="1957" t="s">
        <v>6</v>
      </c>
      <c r="K114" s="1954"/>
      <c r="L114" s="1957" t="s">
        <v>7</v>
      </c>
      <c r="M114" s="1954"/>
      <c r="N114" s="959" t="s">
        <v>33</v>
      </c>
      <c r="O114" s="960"/>
      <c r="P114" s="959" t="s">
        <v>34</v>
      </c>
      <c r="Q114" s="960"/>
      <c r="R114" s="961" t="s">
        <v>35</v>
      </c>
      <c r="S114" s="3239"/>
      <c r="T114" s="3245"/>
      <c r="W114" s="3521"/>
    </row>
    <row r="115" spans="1:28" s="1947" customFormat="1">
      <c r="A115" s="1949" t="s">
        <v>28</v>
      </c>
      <c r="B115" s="1860"/>
      <c r="C115" s="1861"/>
      <c r="D115" s="1862"/>
      <c r="E115" s="1861"/>
      <c r="F115" s="1862"/>
      <c r="G115" s="1861"/>
      <c r="H115" s="1862"/>
      <c r="I115" s="1861"/>
      <c r="J115" s="1862"/>
      <c r="K115" s="1861"/>
      <c r="L115" s="1862"/>
      <c r="M115" s="1861"/>
      <c r="N115" s="962"/>
      <c r="O115" s="963"/>
      <c r="P115" s="962"/>
      <c r="Q115" s="963"/>
      <c r="R115" s="964"/>
      <c r="S115" s="2749"/>
      <c r="T115" s="3244"/>
      <c r="W115" s="3260"/>
    </row>
    <row r="116" spans="1:28" s="1947" customFormat="1" ht="13.8" thickBot="1">
      <c r="A116" s="1949"/>
      <c r="B116" s="1860"/>
      <c r="C116" s="1861"/>
      <c r="D116" s="1862"/>
      <c r="E116" s="1861"/>
      <c r="F116" s="1862"/>
      <c r="G116" s="1861"/>
      <c r="H116" s="1862"/>
      <c r="I116" s="1861"/>
      <c r="J116" s="1862"/>
      <c r="K116" s="1861"/>
      <c r="L116" s="1862"/>
      <c r="M116" s="1861"/>
      <c r="N116" s="962"/>
      <c r="O116" s="963"/>
      <c r="P116" s="962"/>
      <c r="Q116" s="963"/>
      <c r="R116" s="964"/>
      <c r="S116" s="2749"/>
      <c r="T116" s="3244"/>
      <c r="W116" s="3260"/>
    </row>
    <row r="117" spans="1:28" s="1947" customFormat="1">
      <c r="A117" s="1949" t="s">
        <v>65</v>
      </c>
      <c r="B117" s="1863"/>
      <c r="C117" s="1864"/>
      <c r="D117" s="1865"/>
      <c r="E117" s="1864"/>
      <c r="F117" s="1865"/>
      <c r="G117" s="1864"/>
      <c r="H117" s="1865"/>
      <c r="I117" s="1864"/>
      <c r="J117" s="1865"/>
      <c r="K117" s="1864"/>
      <c r="L117" s="1865"/>
      <c r="M117" s="1864"/>
      <c r="N117" s="962"/>
      <c r="O117" s="963"/>
      <c r="P117" s="962"/>
      <c r="Q117" s="963"/>
      <c r="R117" s="964"/>
      <c r="S117" s="2749"/>
      <c r="T117" s="4483" t="s">
        <v>365</v>
      </c>
      <c r="U117" s="4484"/>
      <c r="V117" s="4484"/>
      <c r="W117" s="4484"/>
      <c r="X117" s="4484"/>
      <c r="Y117" s="4484"/>
      <c r="Z117" s="4484"/>
      <c r="AA117" s="4484"/>
      <c r="AB117" s="4485"/>
    </row>
    <row r="118" spans="1:28" s="1947" customFormat="1" ht="13.8" thickBot="1">
      <c r="A118" s="1949"/>
      <c r="B118" s="1863"/>
      <c r="C118" s="1864"/>
      <c r="D118" s="1865"/>
      <c r="E118" s="1864"/>
      <c r="F118" s="1865"/>
      <c r="G118" s="1864"/>
      <c r="H118" s="1865"/>
      <c r="I118" s="1864"/>
      <c r="J118" s="1865"/>
      <c r="K118" s="1864"/>
      <c r="L118" s="1865"/>
      <c r="M118" s="1864"/>
      <c r="N118" s="962"/>
      <c r="O118" s="965"/>
      <c r="P118" s="962"/>
      <c r="Q118" s="965"/>
      <c r="R118" s="964"/>
      <c r="S118" s="2749"/>
      <c r="T118" s="3052">
        <v>2007</v>
      </c>
      <c r="U118" s="3032"/>
      <c r="V118" s="3032">
        <v>2008</v>
      </c>
      <c r="W118" s="3032"/>
      <c r="X118" s="3032">
        <v>2009</v>
      </c>
      <c r="Y118" s="3032"/>
      <c r="Z118" s="3032">
        <v>2010</v>
      </c>
      <c r="AA118" s="3032"/>
      <c r="AB118" s="3545">
        <v>2011</v>
      </c>
    </row>
    <row r="119" spans="1:28" s="1947" customFormat="1">
      <c r="A119" s="1949" t="s">
        <v>29</v>
      </c>
      <c r="B119" s="1978">
        <v>638</v>
      </c>
      <c r="C119" s="1979"/>
      <c r="D119" s="1980">
        <v>705</v>
      </c>
      <c r="E119" s="1979"/>
      <c r="F119" s="1980">
        <v>745</v>
      </c>
      <c r="G119" s="1979"/>
      <c r="H119" s="1980">
        <v>735</v>
      </c>
      <c r="I119" s="1979"/>
      <c r="J119" s="1980">
        <v>728</v>
      </c>
      <c r="K119" s="1979"/>
      <c r="L119" s="1980">
        <v>822</v>
      </c>
      <c r="M119" s="1864"/>
      <c r="N119" s="962">
        <f>AVERAGE(B119:F119)</f>
        <v>696</v>
      </c>
      <c r="O119" s="963"/>
      <c r="P119" s="962">
        <f>AVERAGE(H119:L119)</f>
        <v>761.66666666666663</v>
      </c>
      <c r="Q119" s="963"/>
      <c r="R119" s="964">
        <f>P119-N119</f>
        <v>65.666666666666629</v>
      </c>
      <c r="S119" s="2749"/>
      <c r="T119" s="3546">
        <f>D119/'Student Enrollment BRS VIII '!B457</f>
        <v>0.12931983270966321</v>
      </c>
      <c r="U119" s="3547"/>
      <c r="V119" s="3547">
        <f>F119/'Student Enrollment BRS VIII '!D457</f>
        <v>0.13629461590530725</v>
      </c>
      <c r="W119" s="3547"/>
      <c r="X119" s="3547">
        <f>H119/'Student Enrollment BRS VIII '!F457</f>
        <v>0.13473877176901924</v>
      </c>
      <c r="Y119" s="3547"/>
      <c r="Z119" s="3547">
        <f>J119/'Student Enrollment BRS VIII '!H457</f>
        <v>0.12528395401665862</v>
      </c>
      <c r="AA119" s="3547"/>
      <c r="AB119" s="3548">
        <f>L119/'Student Enrollment BRS VIII '!J457</f>
        <v>0.14741485984828104</v>
      </c>
    </row>
    <row r="120" spans="1:28" s="1947" customFormat="1">
      <c r="A120" s="1949"/>
      <c r="B120" s="1978"/>
      <c r="C120" s="1979"/>
      <c r="D120" s="1980"/>
      <c r="E120" s="1979"/>
      <c r="F120" s="1980"/>
      <c r="G120" s="1979"/>
      <c r="H120" s="1980"/>
      <c r="I120" s="1979"/>
      <c r="J120" s="1980"/>
      <c r="K120" s="1979"/>
      <c r="L120" s="1980"/>
      <c r="M120" s="1864"/>
      <c r="N120" s="962"/>
      <c r="O120" s="965"/>
      <c r="P120" s="962"/>
      <c r="Q120" s="965"/>
      <c r="R120" s="964"/>
      <c r="S120" s="2749"/>
      <c r="T120" s="3549"/>
      <c r="U120" s="3550"/>
      <c r="V120" s="3550"/>
      <c r="W120" s="3551"/>
      <c r="X120" s="3550"/>
      <c r="Y120" s="3550"/>
      <c r="Z120" s="3550"/>
      <c r="AA120" s="3550"/>
      <c r="AB120" s="3552"/>
    </row>
    <row r="121" spans="1:28" s="1947" customFormat="1">
      <c r="A121" s="1949" t="s">
        <v>30</v>
      </c>
      <c r="B121" s="1978">
        <v>191</v>
      </c>
      <c r="C121" s="1979"/>
      <c r="D121" s="1980">
        <v>169</v>
      </c>
      <c r="E121" s="1979"/>
      <c r="F121" s="1980">
        <v>184</v>
      </c>
      <c r="G121" s="1979"/>
      <c r="H121" s="1980">
        <v>187</v>
      </c>
      <c r="I121" s="1979"/>
      <c r="J121" s="1980">
        <v>188</v>
      </c>
      <c r="K121" s="1979"/>
      <c r="L121" s="1980">
        <v>181</v>
      </c>
      <c r="M121" s="1864"/>
      <c r="N121" s="962">
        <f>AVERAGE(B121:F121)</f>
        <v>181.33333333333334</v>
      </c>
      <c r="O121" s="963"/>
      <c r="P121" s="962">
        <f>AVERAGE(H121:L121)</f>
        <v>185.33333333333334</v>
      </c>
      <c r="Q121" s="963"/>
      <c r="R121" s="964">
        <f>P121-N121</f>
        <v>4</v>
      </c>
      <c r="S121" s="2749"/>
      <c r="T121" s="3546">
        <f>D121/'Student Enrollment BRS VIII '!B461</f>
        <v>0.41718094297704267</v>
      </c>
      <c r="U121" s="3547"/>
      <c r="V121" s="3547">
        <f>F121/'Student Enrollment BRS VIII '!D461</f>
        <v>0.44878048780487806</v>
      </c>
      <c r="W121" s="3547"/>
      <c r="X121" s="3547">
        <f>H121/'Student Enrollment BRS VIII '!F461</f>
        <v>0.42013030779600086</v>
      </c>
      <c r="Y121" s="3547"/>
      <c r="Z121" s="3547">
        <f>J121/'Student Enrollment BRS VIII '!H461</f>
        <v>0.37412935323383084</v>
      </c>
      <c r="AA121" s="3547"/>
      <c r="AB121" s="3548">
        <f>L121/'Student Enrollment BRS VIII '!J461</f>
        <v>0.38700021381227284</v>
      </c>
    </row>
    <row r="122" spans="1:28" s="1947" customFormat="1">
      <c r="A122" s="1949"/>
      <c r="B122" s="1978"/>
      <c r="C122" s="1979"/>
      <c r="D122" s="1980"/>
      <c r="E122" s="1979"/>
      <c r="F122" s="1980"/>
      <c r="G122" s="1979"/>
      <c r="H122" s="1980"/>
      <c r="I122" s="1979"/>
      <c r="J122" s="1980"/>
      <c r="K122" s="1979"/>
      <c r="L122" s="1980"/>
      <c r="M122" s="1864"/>
      <c r="N122" s="962"/>
      <c r="O122" s="965"/>
      <c r="P122" s="962"/>
      <c r="Q122" s="965"/>
      <c r="R122" s="964"/>
      <c r="S122" s="2749"/>
      <c r="T122" s="3549"/>
      <c r="U122" s="3550"/>
      <c r="V122" s="3550"/>
      <c r="W122" s="3551"/>
      <c r="X122" s="3550"/>
      <c r="Y122" s="3550"/>
      <c r="Z122" s="3550"/>
      <c r="AA122" s="3550"/>
      <c r="AB122" s="3552"/>
    </row>
    <row r="123" spans="1:28" s="1947" customFormat="1" ht="13.8" thickBot="1">
      <c r="A123" s="1950" t="s">
        <v>31</v>
      </c>
      <c r="B123" s="1981">
        <v>0</v>
      </c>
      <c r="C123" s="1982"/>
      <c r="D123" s="1983">
        <v>0</v>
      </c>
      <c r="E123" s="1982"/>
      <c r="F123" s="1983">
        <v>0</v>
      </c>
      <c r="G123" s="1982"/>
      <c r="H123" s="1983">
        <v>0</v>
      </c>
      <c r="I123" s="1982"/>
      <c r="J123" s="1983">
        <v>0</v>
      </c>
      <c r="K123" s="1982"/>
      <c r="L123" s="1983">
        <v>0</v>
      </c>
      <c r="M123" s="1866"/>
      <c r="N123" s="966">
        <f>AVERAGE(B123:F123)</f>
        <v>0</v>
      </c>
      <c r="O123" s="967"/>
      <c r="P123" s="966">
        <f>AVERAGE(H123:L123)</f>
        <v>0</v>
      </c>
      <c r="Q123" s="967"/>
      <c r="R123" s="968">
        <f>P123-N123</f>
        <v>0</v>
      </c>
      <c r="S123" s="2749"/>
      <c r="T123" s="3556"/>
      <c r="U123" s="3557"/>
      <c r="V123" s="3558"/>
      <c r="W123" s="3559"/>
      <c r="X123" s="3558"/>
      <c r="Y123" s="3557"/>
      <c r="Z123" s="3558"/>
      <c r="AA123" s="3557"/>
      <c r="AB123" s="3560"/>
    </row>
    <row r="124" spans="1:28" s="1947" customFormat="1" ht="14.4" thickTop="1" thickBot="1">
      <c r="A124" s="1966" t="s">
        <v>32</v>
      </c>
      <c r="B124" s="1857">
        <f>SUM(B115:B123)</f>
        <v>829</v>
      </c>
      <c r="C124" s="1859"/>
      <c r="D124" s="1858">
        <f>SUM(D115:D123)</f>
        <v>874</v>
      </c>
      <c r="E124" s="1859"/>
      <c r="F124" s="1858">
        <f>SUM(F115:F123)</f>
        <v>929</v>
      </c>
      <c r="G124" s="1859"/>
      <c r="H124" s="1858">
        <f>SUM(H115:H123)</f>
        <v>922</v>
      </c>
      <c r="I124" s="1859"/>
      <c r="J124" s="1858">
        <f>SUM(J115:J123)</f>
        <v>916</v>
      </c>
      <c r="K124" s="1859"/>
      <c r="L124" s="1858">
        <f>SUM(L115:L123)</f>
        <v>1003</v>
      </c>
      <c r="M124" s="1859"/>
      <c r="N124" s="969">
        <f>AVERAGE(B124:F124)</f>
        <v>877.33333333333337</v>
      </c>
      <c r="O124" s="970"/>
      <c r="P124" s="969">
        <f>AVERAGE(H124:L124)</f>
        <v>947</v>
      </c>
      <c r="Q124" s="970"/>
      <c r="R124" s="971">
        <f>P124-N124</f>
        <v>69.666666666666629</v>
      </c>
      <c r="S124" s="2749"/>
      <c r="T124" s="3553">
        <f>D124/('Student Enrollment BRS VIII '!B457+'Student Enrollment BRS VIII '!B461)</f>
        <v>0.14923079549917187</v>
      </c>
      <c r="U124" s="3554"/>
      <c r="V124" s="3554">
        <f>F124/('Student Enrollment BRS VIII '!D457+'Student Enrollment BRS VIII '!D461)</f>
        <v>0.15809805823590475</v>
      </c>
      <c r="W124" s="3554"/>
      <c r="X124" s="3554">
        <f>H124/('Student Enrollment BRS VIII '!F457+'Student Enrollment BRS VIII '!F461)</f>
        <v>0.15626853782139286</v>
      </c>
      <c r="Y124" s="3554"/>
      <c r="Z124" s="3554">
        <f>J124/('Student Enrollment BRS VIII '!H457+'Student Enrollment BRS VIII '!H461)</f>
        <v>0.14509052318122059</v>
      </c>
      <c r="AA124" s="3554"/>
      <c r="AB124" s="3555">
        <f>L124/('Student Enrollment BRS VIII '!J457+'Student Enrollment BRS VIII '!J461)</f>
        <v>0.16595519375227505</v>
      </c>
    </row>
    <row r="125" spans="1:28" s="1967" customFormat="1" ht="13.8" thickBot="1">
      <c r="A125" s="1972"/>
      <c r="F125" s="1971"/>
      <c r="N125" s="957"/>
      <c r="O125" s="957"/>
      <c r="P125" s="957"/>
      <c r="Q125" s="957"/>
      <c r="R125" s="957"/>
      <c r="S125" s="2749"/>
      <c r="T125" s="3244"/>
      <c r="W125" s="3260"/>
    </row>
    <row r="126" spans="1:28" s="1968" customFormat="1" ht="27" thickBot="1">
      <c r="A126" s="442" t="s">
        <v>205</v>
      </c>
      <c r="B126" s="1973" t="s">
        <v>2</v>
      </c>
      <c r="C126" s="1974"/>
      <c r="D126" s="1975" t="s">
        <v>3</v>
      </c>
      <c r="E126" s="1974"/>
      <c r="F126" s="1976" t="s">
        <v>4</v>
      </c>
      <c r="G126" s="1974"/>
      <c r="H126" s="1977" t="s">
        <v>5</v>
      </c>
      <c r="I126" s="1974"/>
      <c r="J126" s="1977" t="s">
        <v>6</v>
      </c>
      <c r="K126" s="1974"/>
      <c r="L126" s="1977" t="s">
        <v>7</v>
      </c>
      <c r="M126" s="1974"/>
      <c r="N126" s="959" t="s">
        <v>33</v>
      </c>
      <c r="O126" s="960"/>
      <c r="P126" s="959" t="s">
        <v>34</v>
      </c>
      <c r="Q126" s="960"/>
      <c r="R126" s="961" t="s">
        <v>35</v>
      </c>
      <c r="S126" s="3239"/>
      <c r="T126" s="3245"/>
      <c r="W126" s="3521"/>
    </row>
    <row r="127" spans="1:28" s="1967" customFormat="1">
      <c r="A127" s="1969" t="s">
        <v>28</v>
      </c>
      <c r="B127" s="1860"/>
      <c r="C127" s="1861"/>
      <c r="D127" s="1862"/>
      <c r="E127" s="1861"/>
      <c r="F127" s="1862"/>
      <c r="G127" s="1861"/>
      <c r="H127" s="1862"/>
      <c r="I127" s="1861"/>
      <c r="J127" s="1862"/>
      <c r="K127" s="1861"/>
      <c r="L127" s="1862"/>
      <c r="M127" s="1861"/>
      <c r="N127" s="962"/>
      <c r="O127" s="963"/>
      <c r="P127" s="962"/>
      <c r="Q127" s="963"/>
      <c r="R127" s="964"/>
      <c r="S127" s="2749"/>
      <c r="T127" s="3244"/>
      <c r="W127" s="3260"/>
    </row>
    <row r="128" spans="1:28" s="1967" customFormat="1" ht="13.8" thickBot="1">
      <c r="A128" s="1969"/>
      <c r="B128" s="1860"/>
      <c r="C128" s="1861"/>
      <c r="D128" s="1862"/>
      <c r="E128" s="1861"/>
      <c r="F128" s="1862"/>
      <c r="G128" s="1861"/>
      <c r="H128" s="1862"/>
      <c r="I128" s="1861"/>
      <c r="J128" s="1862"/>
      <c r="K128" s="1861"/>
      <c r="L128" s="1862"/>
      <c r="M128" s="1861"/>
      <c r="N128" s="962"/>
      <c r="O128" s="963"/>
      <c r="P128" s="962"/>
      <c r="Q128" s="963"/>
      <c r="R128" s="964"/>
      <c r="S128" s="2749"/>
      <c r="T128" s="3244"/>
      <c r="W128" s="3260"/>
    </row>
    <row r="129" spans="1:28" s="1967" customFormat="1">
      <c r="A129" s="1969" t="s">
        <v>65</v>
      </c>
      <c r="B129" s="1863"/>
      <c r="C129" s="1864"/>
      <c r="D129" s="1865"/>
      <c r="E129" s="1864"/>
      <c r="F129" s="1865"/>
      <c r="G129" s="1864"/>
      <c r="H129" s="1865"/>
      <c r="I129" s="1864"/>
      <c r="J129" s="1865"/>
      <c r="K129" s="1864"/>
      <c r="L129" s="1865"/>
      <c r="M129" s="1864"/>
      <c r="N129" s="962"/>
      <c r="O129" s="963"/>
      <c r="P129" s="962"/>
      <c r="Q129" s="963"/>
      <c r="R129" s="964"/>
      <c r="S129" s="2749"/>
      <c r="T129" s="4483" t="s">
        <v>365</v>
      </c>
      <c r="U129" s="4484"/>
      <c r="V129" s="4484"/>
      <c r="W129" s="4484"/>
      <c r="X129" s="4484"/>
      <c r="Y129" s="4484"/>
      <c r="Z129" s="4484"/>
      <c r="AA129" s="4484"/>
      <c r="AB129" s="4485"/>
    </row>
    <row r="130" spans="1:28" s="1967" customFormat="1" ht="13.8" thickBot="1">
      <c r="A130" s="1969"/>
      <c r="B130" s="1863"/>
      <c r="C130" s="1864"/>
      <c r="D130" s="1865"/>
      <c r="E130" s="1864"/>
      <c r="F130" s="1865"/>
      <c r="G130" s="1864"/>
      <c r="H130" s="1865"/>
      <c r="I130" s="1864"/>
      <c r="J130" s="1865"/>
      <c r="K130" s="1864"/>
      <c r="L130" s="1865"/>
      <c r="M130" s="1864"/>
      <c r="N130" s="962"/>
      <c r="O130" s="965"/>
      <c r="P130" s="962"/>
      <c r="Q130" s="965"/>
      <c r="R130" s="964"/>
      <c r="S130" s="2749"/>
      <c r="T130" s="3052">
        <v>2007</v>
      </c>
      <c r="U130" s="3032"/>
      <c r="V130" s="3032">
        <v>2008</v>
      </c>
      <c r="W130" s="3032"/>
      <c r="X130" s="3032">
        <v>2009</v>
      </c>
      <c r="Y130" s="3032"/>
      <c r="Z130" s="3032">
        <v>2010</v>
      </c>
      <c r="AA130" s="3032"/>
      <c r="AB130" s="3545">
        <v>2011</v>
      </c>
    </row>
    <row r="131" spans="1:28" s="1967" customFormat="1">
      <c r="A131" s="1969" t="s">
        <v>29</v>
      </c>
      <c r="B131" s="1996">
        <v>972</v>
      </c>
      <c r="C131" s="1997"/>
      <c r="D131" s="1998">
        <v>922</v>
      </c>
      <c r="E131" s="1997"/>
      <c r="F131" s="1998">
        <v>934</v>
      </c>
      <c r="G131" s="1997"/>
      <c r="H131" s="1998">
        <v>964</v>
      </c>
      <c r="I131" s="1997"/>
      <c r="J131" s="1998">
        <v>1083</v>
      </c>
      <c r="K131" s="1997"/>
      <c r="L131" s="1998">
        <v>1024</v>
      </c>
      <c r="M131" s="1864"/>
      <c r="N131" s="962">
        <f>AVERAGE(B131:F131)</f>
        <v>942.66666666666663</v>
      </c>
      <c r="O131" s="963"/>
      <c r="P131" s="962">
        <f>AVERAGE(H131:L131)</f>
        <v>1023.6666666666666</v>
      </c>
      <c r="Q131" s="963"/>
      <c r="R131" s="964">
        <f>P131-N131</f>
        <v>81</v>
      </c>
      <c r="S131" s="2749"/>
      <c r="T131" s="3546">
        <f>D131/'Student Enrollment BRS VIII '!B493</f>
        <v>0.11876392771115375</v>
      </c>
      <c r="U131" s="3547"/>
      <c r="V131" s="3547">
        <f>F131/'Student Enrollment BRS VIII '!D493</f>
        <v>0.11785340248072579</v>
      </c>
      <c r="W131" s="3547"/>
      <c r="X131" s="3547">
        <f>H131/'Student Enrollment BRS VIII '!F493</f>
        <v>0.11573184786784479</v>
      </c>
      <c r="Y131" s="3547"/>
      <c r="Z131" s="3547">
        <f>J131/'Student Enrollment BRS VIII '!H493</f>
        <v>0.11915764457354107</v>
      </c>
      <c r="AA131" s="3547"/>
      <c r="AB131" s="3548">
        <f>L131/'Student Enrollment BRS VIII '!J493</f>
        <v>0.11053659905655286</v>
      </c>
    </row>
    <row r="132" spans="1:28" s="1967" customFormat="1">
      <c r="A132" s="1969"/>
      <c r="B132" s="1996"/>
      <c r="C132" s="1997"/>
      <c r="D132" s="1998"/>
      <c r="E132" s="1997"/>
      <c r="F132" s="2003"/>
      <c r="G132" s="2004"/>
      <c r="H132" s="2003"/>
      <c r="I132" s="2004"/>
      <c r="J132" s="2003"/>
      <c r="K132" s="2004"/>
      <c r="L132" s="2003"/>
      <c r="M132" s="1864"/>
      <c r="N132" s="962"/>
      <c r="O132" s="965"/>
      <c r="P132" s="962"/>
      <c r="Q132" s="965"/>
      <c r="R132" s="964"/>
      <c r="S132" s="2749"/>
      <c r="T132" s="3549"/>
      <c r="U132" s="3550"/>
      <c r="V132" s="3550"/>
      <c r="W132" s="3551"/>
      <c r="X132" s="3550"/>
      <c r="Y132" s="3550"/>
      <c r="Z132" s="3550"/>
      <c r="AA132" s="3550"/>
      <c r="AB132" s="3552"/>
    </row>
    <row r="133" spans="1:28" s="1967" customFormat="1">
      <c r="A133" s="1969" t="s">
        <v>30</v>
      </c>
      <c r="B133" s="1996">
        <v>180</v>
      </c>
      <c r="C133" s="1997"/>
      <c r="D133" s="1998">
        <v>189</v>
      </c>
      <c r="E133" s="1997"/>
      <c r="F133" s="1998">
        <v>180</v>
      </c>
      <c r="G133" s="1997"/>
      <c r="H133" s="1998">
        <v>201</v>
      </c>
      <c r="I133" s="1997"/>
      <c r="J133" s="1998">
        <v>197</v>
      </c>
      <c r="K133" s="1997"/>
      <c r="L133" s="1998">
        <v>230</v>
      </c>
      <c r="M133" s="1864"/>
      <c r="N133" s="962">
        <f>AVERAGE(B133:F133)</f>
        <v>183</v>
      </c>
      <c r="O133" s="963"/>
      <c r="P133" s="962">
        <f>AVERAGE(H133:L133)</f>
        <v>209.33333333333334</v>
      </c>
      <c r="Q133" s="963"/>
      <c r="R133" s="964">
        <f>P133-N133</f>
        <v>26.333333333333343</v>
      </c>
      <c r="S133" s="2749"/>
      <c r="T133" s="3546">
        <f>D133/'Student Enrollment BRS VIII '!B497</f>
        <v>0.40384615384615385</v>
      </c>
      <c r="U133" s="3547"/>
      <c r="V133" s="3547">
        <f>F133/'Student Enrollment BRS VIII '!D497</f>
        <v>0.35629453681710216</v>
      </c>
      <c r="W133" s="3547"/>
      <c r="X133" s="3547">
        <f>H133/'Student Enrollment BRS VIII '!F497</f>
        <v>0.44107965766951945</v>
      </c>
      <c r="Y133" s="3547"/>
      <c r="Z133" s="3547">
        <f>J133/'Student Enrollment BRS VIII '!H497</f>
        <v>0.38491598280578349</v>
      </c>
      <c r="AA133" s="3547"/>
      <c r="AB133" s="3548">
        <f>L133/'Student Enrollment BRS VIII '!J497</f>
        <v>0.50727834142037942</v>
      </c>
    </row>
    <row r="134" spans="1:28" s="1967" customFormat="1">
      <c r="A134" s="1969"/>
      <c r="B134" s="1996"/>
      <c r="C134" s="1997"/>
      <c r="D134" s="1998"/>
      <c r="E134" s="1997"/>
      <c r="F134" s="2003"/>
      <c r="G134" s="2004"/>
      <c r="H134" s="2003"/>
      <c r="I134" s="2004"/>
      <c r="J134" s="2003"/>
      <c r="K134" s="2004"/>
      <c r="L134" s="2003"/>
      <c r="M134" s="1864"/>
      <c r="N134" s="962"/>
      <c r="O134" s="965"/>
      <c r="P134" s="962"/>
      <c r="Q134" s="965"/>
      <c r="R134" s="964"/>
      <c r="S134" s="2749"/>
      <c r="T134" s="3549"/>
      <c r="U134" s="3550"/>
      <c r="V134" s="3550"/>
      <c r="W134" s="3551"/>
      <c r="X134" s="3550"/>
      <c r="Y134" s="3550"/>
      <c r="Z134" s="3550"/>
      <c r="AA134" s="3550"/>
      <c r="AB134" s="3552"/>
    </row>
    <row r="135" spans="1:28" s="1967" customFormat="1" ht="13.8" thickBot="1">
      <c r="A135" s="1970" t="s">
        <v>31</v>
      </c>
      <c r="B135" s="1999">
        <v>0</v>
      </c>
      <c r="C135" s="2000"/>
      <c r="D135" s="2001">
        <v>0</v>
      </c>
      <c r="E135" s="2000"/>
      <c r="F135" s="2001">
        <v>0</v>
      </c>
      <c r="G135" s="2000"/>
      <c r="H135" s="2001">
        <v>0</v>
      </c>
      <c r="I135" s="2000"/>
      <c r="J135" s="2001">
        <v>0</v>
      </c>
      <c r="K135" s="2000"/>
      <c r="L135" s="2001">
        <v>0</v>
      </c>
      <c r="M135" s="1866"/>
      <c r="N135" s="966">
        <f>AVERAGE(B135:F135)</f>
        <v>0</v>
      </c>
      <c r="O135" s="967"/>
      <c r="P135" s="966">
        <f>AVERAGE(H135:L135)</f>
        <v>0</v>
      </c>
      <c r="Q135" s="967"/>
      <c r="R135" s="968">
        <f>P135-N135</f>
        <v>0</v>
      </c>
      <c r="S135" s="2749"/>
      <c r="T135" s="3556"/>
      <c r="U135" s="3557"/>
      <c r="V135" s="3558"/>
      <c r="W135" s="3559"/>
      <c r="X135" s="3558"/>
      <c r="Y135" s="3557"/>
      <c r="Z135" s="3558"/>
      <c r="AA135" s="3557"/>
      <c r="AB135" s="3560"/>
    </row>
    <row r="136" spans="1:28" s="1967" customFormat="1" ht="14.4" thickTop="1" thickBot="1">
      <c r="A136" s="1984" t="s">
        <v>32</v>
      </c>
      <c r="B136" s="1857">
        <f>SUM(B127:B135)</f>
        <v>1152</v>
      </c>
      <c r="C136" s="1859"/>
      <c r="D136" s="1858">
        <f>SUM(D127:D135)</f>
        <v>1111</v>
      </c>
      <c r="E136" s="1859"/>
      <c r="F136" s="1858">
        <f>SUM(F127:F135)</f>
        <v>1114</v>
      </c>
      <c r="G136" s="1859"/>
      <c r="H136" s="1858">
        <f>SUM(H127:H135)</f>
        <v>1165</v>
      </c>
      <c r="I136" s="1859"/>
      <c r="J136" s="1858">
        <f>SUM(J127:J135)</f>
        <v>1280</v>
      </c>
      <c r="K136" s="1859"/>
      <c r="L136" s="1858">
        <f>SUM(L127:L135)</f>
        <v>1254</v>
      </c>
      <c r="M136" s="1859"/>
      <c r="N136" s="969">
        <f>AVERAGE(B136:F136)</f>
        <v>1125.6666666666667</v>
      </c>
      <c r="O136" s="970"/>
      <c r="P136" s="969">
        <f>AVERAGE(H136:L136)</f>
        <v>1233</v>
      </c>
      <c r="Q136" s="970"/>
      <c r="R136" s="971">
        <f>P136-N136</f>
        <v>107.33333333333326</v>
      </c>
      <c r="S136" s="2749"/>
      <c r="T136" s="3553">
        <f>D136/('Student Enrollment BRS VIII '!B493+'Student Enrollment BRS VIII '!B497)</f>
        <v>0.13497260457035951</v>
      </c>
      <c r="U136" s="3554"/>
      <c r="V136" s="3554">
        <f>F136/('Student Enrollment BRS VIII '!D493+'Student Enrollment BRS VIII '!D497)</f>
        <v>0.13214239113673296</v>
      </c>
      <c r="W136" s="3554"/>
      <c r="X136" s="3554">
        <f>H136/('Student Enrollment BRS VIII '!F493+'Student Enrollment BRS VIII '!F497)</f>
        <v>0.13260787907072039</v>
      </c>
      <c r="Y136" s="3554"/>
      <c r="Z136" s="3554">
        <f>J136/('Student Enrollment BRS VIII '!H493+'Student Enrollment BRS VIII '!H497)</f>
        <v>0.13332500052080079</v>
      </c>
      <c r="AA136" s="3554"/>
      <c r="AB136" s="3555">
        <f>L136/('Student Enrollment BRS VIII '!J493+'Student Enrollment BRS VIII '!J497)</f>
        <v>0.12904819239912321</v>
      </c>
    </row>
    <row r="137" spans="1:28" s="1985" customFormat="1" ht="13.8" thickBot="1">
      <c r="A137" s="1990"/>
      <c r="F137" s="1989"/>
      <c r="N137" s="957"/>
      <c r="O137" s="957"/>
      <c r="P137" s="957"/>
      <c r="Q137" s="957"/>
      <c r="R137" s="957"/>
      <c r="S137" s="2749"/>
      <c r="T137" s="3244"/>
      <c r="W137" s="3260"/>
    </row>
    <row r="138" spans="1:28" s="1986" customFormat="1" ht="27" thickBot="1">
      <c r="A138" s="442" t="s">
        <v>206</v>
      </c>
      <c r="B138" s="1991" t="s">
        <v>2</v>
      </c>
      <c r="C138" s="1992"/>
      <c r="D138" s="1993" t="s">
        <v>3</v>
      </c>
      <c r="E138" s="1992"/>
      <c r="F138" s="1994" t="s">
        <v>4</v>
      </c>
      <c r="G138" s="1992"/>
      <c r="H138" s="1995" t="s">
        <v>5</v>
      </c>
      <c r="I138" s="1992"/>
      <c r="J138" s="1995" t="s">
        <v>6</v>
      </c>
      <c r="K138" s="1992"/>
      <c r="L138" s="1995" t="s">
        <v>7</v>
      </c>
      <c r="M138" s="1992"/>
      <c r="N138" s="959" t="s">
        <v>33</v>
      </c>
      <c r="O138" s="960"/>
      <c r="P138" s="959" t="s">
        <v>34</v>
      </c>
      <c r="Q138" s="960"/>
      <c r="R138" s="961" t="s">
        <v>35</v>
      </c>
      <c r="S138" s="3239"/>
      <c r="T138" s="3245"/>
      <c r="W138" s="3521"/>
    </row>
    <row r="139" spans="1:28" s="1985" customFormat="1">
      <c r="A139" s="1987" t="s">
        <v>28</v>
      </c>
      <c r="B139" s="1860"/>
      <c r="C139" s="1861"/>
      <c r="D139" s="1862"/>
      <c r="E139" s="1861"/>
      <c r="F139" s="1862"/>
      <c r="G139" s="1861"/>
      <c r="H139" s="1862"/>
      <c r="I139" s="1861"/>
      <c r="J139" s="1862"/>
      <c r="K139" s="1861"/>
      <c r="L139" s="1862"/>
      <c r="M139" s="1861"/>
      <c r="N139" s="962"/>
      <c r="O139" s="963"/>
      <c r="P139" s="962"/>
      <c r="Q139" s="963"/>
      <c r="R139" s="964"/>
      <c r="S139" s="2749"/>
      <c r="T139" s="3244"/>
      <c r="W139" s="3260"/>
    </row>
    <row r="140" spans="1:28" s="1985" customFormat="1" ht="13.8" thickBot="1">
      <c r="A140" s="1987"/>
      <c r="B140" s="1860"/>
      <c r="C140" s="1861"/>
      <c r="D140" s="1862"/>
      <c r="E140" s="1861"/>
      <c r="F140" s="1862"/>
      <c r="G140" s="1861"/>
      <c r="H140" s="1862"/>
      <c r="I140" s="1861"/>
      <c r="J140" s="1862"/>
      <c r="K140" s="1861"/>
      <c r="L140" s="1862"/>
      <c r="M140" s="1861"/>
      <c r="N140" s="962"/>
      <c r="O140" s="963"/>
      <c r="P140" s="962"/>
      <c r="Q140" s="963"/>
      <c r="R140" s="964"/>
      <c r="S140" s="2749"/>
      <c r="T140" s="3244"/>
      <c r="W140" s="3260"/>
    </row>
    <row r="141" spans="1:28" s="1985" customFormat="1">
      <c r="A141" s="1987" t="s">
        <v>65</v>
      </c>
      <c r="B141" s="1863"/>
      <c r="C141" s="1864"/>
      <c r="D141" s="1865"/>
      <c r="E141" s="1864"/>
      <c r="F141" s="1865"/>
      <c r="G141" s="1864"/>
      <c r="H141" s="1865"/>
      <c r="I141" s="1864"/>
      <c r="J141" s="1865"/>
      <c r="K141" s="1864"/>
      <c r="L141" s="1865"/>
      <c r="M141" s="1864"/>
      <c r="N141" s="962"/>
      <c r="O141" s="963"/>
      <c r="P141" s="962"/>
      <c r="Q141" s="963"/>
      <c r="R141" s="964"/>
      <c r="S141" s="2749"/>
      <c r="T141" s="4483" t="s">
        <v>365</v>
      </c>
      <c r="U141" s="4484"/>
      <c r="V141" s="4484"/>
      <c r="W141" s="4484"/>
      <c r="X141" s="4484"/>
      <c r="Y141" s="4484"/>
      <c r="Z141" s="4484"/>
      <c r="AA141" s="4484"/>
      <c r="AB141" s="4485"/>
    </row>
    <row r="142" spans="1:28" s="1985" customFormat="1" ht="13.8" thickBot="1">
      <c r="A142" s="1987"/>
      <c r="B142" s="1863"/>
      <c r="C142" s="1864"/>
      <c r="D142" s="1865"/>
      <c r="E142" s="1864"/>
      <c r="F142" s="1865"/>
      <c r="G142" s="1864"/>
      <c r="H142" s="1865"/>
      <c r="I142" s="1864"/>
      <c r="J142" s="1865"/>
      <c r="K142" s="1864"/>
      <c r="L142" s="1865"/>
      <c r="M142" s="1864"/>
      <c r="N142" s="962"/>
      <c r="O142" s="965"/>
      <c r="P142" s="962"/>
      <c r="Q142" s="965"/>
      <c r="R142" s="964"/>
      <c r="S142" s="2749"/>
      <c r="T142" s="3052">
        <v>2007</v>
      </c>
      <c r="U142" s="3032"/>
      <c r="V142" s="3032">
        <v>2008</v>
      </c>
      <c r="W142" s="3032"/>
      <c r="X142" s="3032">
        <v>2009</v>
      </c>
      <c r="Y142" s="3032"/>
      <c r="Z142" s="3032">
        <v>2010</v>
      </c>
      <c r="AA142" s="3032"/>
      <c r="AB142" s="3545">
        <v>2011</v>
      </c>
    </row>
    <row r="143" spans="1:28" s="1985" customFormat="1">
      <c r="A143" s="1987" t="s">
        <v>29</v>
      </c>
      <c r="B143" s="2016">
        <v>302</v>
      </c>
      <c r="C143" s="2017"/>
      <c r="D143" s="2018">
        <v>320</v>
      </c>
      <c r="E143" s="2017"/>
      <c r="F143" s="2018">
        <v>315</v>
      </c>
      <c r="G143" s="2017"/>
      <c r="H143" s="2018">
        <v>305</v>
      </c>
      <c r="I143" s="2017"/>
      <c r="J143" s="2018">
        <v>312</v>
      </c>
      <c r="K143" s="2017"/>
      <c r="L143" s="2018">
        <v>370</v>
      </c>
      <c r="M143" s="1864"/>
      <c r="N143" s="962">
        <f>AVERAGE(B143:F143)</f>
        <v>312.33333333333331</v>
      </c>
      <c r="O143" s="963"/>
      <c r="P143" s="962">
        <f>AVERAGE(H143:L143)</f>
        <v>329</v>
      </c>
      <c r="Q143" s="963"/>
      <c r="R143" s="964">
        <f>P143-N143</f>
        <v>16.666666666666686</v>
      </c>
      <c r="S143" s="2749"/>
      <c r="T143" s="3546">
        <f>D143/'Student Enrollment BRS VIII '!B529</f>
        <v>0.12299650228696622</v>
      </c>
      <c r="U143" s="3547"/>
      <c r="V143" s="3547">
        <f>F143/'Student Enrollment BRS VIII '!D529</f>
        <v>0.11657168233291393</v>
      </c>
      <c r="W143" s="3547"/>
      <c r="X143" s="3547">
        <f>H143/'Student Enrollment BRS VIII '!F529</f>
        <v>0.10607219865062252</v>
      </c>
      <c r="Y143" s="3547"/>
      <c r="Z143" s="3547">
        <f>J143/'Student Enrollment BRS VIII '!H529</f>
        <v>9.8491066355199192E-2</v>
      </c>
      <c r="AA143" s="3547"/>
      <c r="AB143" s="3548">
        <f>L143/'Student Enrollment BRS VIII '!J529</f>
        <v>0.10981183593518133</v>
      </c>
    </row>
    <row r="144" spans="1:28" s="1985" customFormat="1">
      <c r="A144" s="1987"/>
      <c r="B144" s="2016"/>
      <c r="C144" s="2017"/>
      <c r="D144" s="2018"/>
      <c r="E144" s="2017"/>
      <c r="F144" s="2018"/>
      <c r="G144" s="2017"/>
      <c r="H144" s="2018"/>
      <c r="I144" s="2017"/>
      <c r="J144" s="2018"/>
      <c r="K144" s="2017"/>
      <c r="L144" s="2018"/>
      <c r="M144" s="1864"/>
      <c r="N144" s="962"/>
      <c r="O144" s="965"/>
      <c r="P144" s="962"/>
      <c r="Q144" s="965"/>
      <c r="R144" s="964"/>
      <c r="S144" s="2749"/>
      <c r="T144" s="3549"/>
      <c r="U144" s="3550"/>
      <c r="V144" s="3550"/>
      <c r="W144" s="3551"/>
      <c r="X144" s="3550"/>
      <c r="Y144" s="3550"/>
      <c r="Z144" s="3550"/>
      <c r="AA144" s="3550"/>
      <c r="AB144" s="3552"/>
    </row>
    <row r="145" spans="1:28" s="1985" customFormat="1">
      <c r="A145" s="1987" t="s">
        <v>30</v>
      </c>
      <c r="B145" s="2016">
        <v>0</v>
      </c>
      <c r="C145" s="2017"/>
      <c r="D145" s="2018">
        <v>9</v>
      </c>
      <c r="E145" s="2017"/>
      <c r="F145" s="2018">
        <v>20</v>
      </c>
      <c r="G145" s="2017"/>
      <c r="H145" s="2018">
        <v>25</v>
      </c>
      <c r="I145" s="2017"/>
      <c r="J145" s="2018">
        <v>30</v>
      </c>
      <c r="K145" s="2017"/>
      <c r="L145" s="2018">
        <v>29</v>
      </c>
      <c r="M145" s="1864"/>
      <c r="N145" s="962">
        <f>AVERAGE(B145:F145)</f>
        <v>9.6666666666666661</v>
      </c>
      <c r="O145" s="963"/>
      <c r="P145" s="962">
        <f>AVERAGE(H145:L145)</f>
        <v>28</v>
      </c>
      <c r="Q145" s="963"/>
      <c r="R145" s="964">
        <f>P145-N145</f>
        <v>18.333333333333336</v>
      </c>
      <c r="S145" s="2749"/>
      <c r="T145" s="3546">
        <f>D145/'Student Enrollment BRS VIII '!B533</f>
        <v>0.19354838709677419</v>
      </c>
      <c r="U145" s="3547"/>
      <c r="V145" s="3547">
        <f>F145/'Student Enrollment BRS VIII '!D533</f>
        <v>0.4366812227074236</v>
      </c>
      <c r="W145" s="3547"/>
      <c r="X145" s="3547">
        <f>H145/'Student Enrollment BRS VIII '!F533</f>
        <v>0.45289855072463764</v>
      </c>
      <c r="Y145" s="3547"/>
      <c r="Z145" s="3547">
        <f>J145/'Student Enrollment BRS VIII '!H533</f>
        <v>0.73529411764705888</v>
      </c>
      <c r="AA145" s="3547"/>
      <c r="AB145" s="3548">
        <f>L145/'Student Enrollment BRS VIII '!J533</f>
        <v>0.54104477611940294</v>
      </c>
    </row>
    <row r="146" spans="1:28" s="1985" customFormat="1">
      <c r="A146" s="1987"/>
      <c r="B146" s="2016"/>
      <c r="C146" s="2017"/>
      <c r="D146" s="2018"/>
      <c r="E146" s="2017"/>
      <c r="F146" s="2018"/>
      <c r="G146" s="2017"/>
      <c r="H146" s="2018"/>
      <c r="I146" s="2017"/>
      <c r="J146" s="2018"/>
      <c r="K146" s="2017"/>
      <c r="L146" s="2018"/>
      <c r="M146" s="1864"/>
      <c r="N146" s="962"/>
      <c r="O146" s="965"/>
      <c r="P146" s="962"/>
      <c r="Q146" s="965"/>
      <c r="R146" s="964"/>
      <c r="S146" s="2749"/>
      <c r="T146" s="3549"/>
      <c r="U146" s="3550"/>
      <c r="V146" s="3550"/>
      <c r="W146" s="3551"/>
      <c r="X146" s="3550"/>
      <c r="Y146" s="3550"/>
      <c r="Z146" s="3550"/>
      <c r="AA146" s="3550"/>
      <c r="AB146" s="3552"/>
    </row>
    <row r="147" spans="1:28" s="1985" customFormat="1" ht="13.8" thickBot="1">
      <c r="A147" s="1988" t="s">
        <v>31</v>
      </c>
      <c r="B147" s="2019">
        <v>0</v>
      </c>
      <c r="C147" s="2020"/>
      <c r="D147" s="2021">
        <v>0</v>
      </c>
      <c r="E147" s="2020"/>
      <c r="F147" s="2021">
        <v>0</v>
      </c>
      <c r="G147" s="2020"/>
      <c r="H147" s="2021">
        <v>0</v>
      </c>
      <c r="I147" s="2020"/>
      <c r="J147" s="2021">
        <v>0</v>
      </c>
      <c r="K147" s="2020"/>
      <c r="L147" s="2021">
        <v>0</v>
      </c>
      <c r="M147" s="1866"/>
      <c r="N147" s="966">
        <f>AVERAGE(B147:F147)</f>
        <v>0</v>
      </c>
      <c r="O147" s="967"/>
      <c r="P147" s="966">
        <f>AVERAGE(H147:L147)</f>
        <v>0</v>
      </c>
      <c r="Q147" s="967"/>
      <c r="R147" s="968">
        <f>P147-N147</f>
        <v>0</v>
      </c>
      <c r="S147" s="2749"/>
      <c r="T147" s="3556"/>
      <c r="U147" s="3557"/>
      <c r="V147" s="3558"/>
      <c r="W147" s="3559"/>
      <c r="X147" s="3558"/>
      <c r="Y147" s="3557"/>
      <c r="Z147" s="3558"/>
      <c r="AA147" s="3557"/>
      <c r="AB147" s="3560"/>
    </row>
    <row r="148" spans="1:28" s="1985" customFormat="1" ht="14.4" thickTop="1" thickBot="1">
      <c r="A148" s="2002" t="s">
        <v>32</v>
      </c>
      <c r="B148" s="1857">
        <f>SUM(B139:B147)</f>
        <v>302</v>
      </c>
      <c r="C148" s="1859"/>
      <c r="D148" s="1858">
        <f>SUM(D139:D147)</f>
        <v>329</v>
      </c>
      <c r="E148" s="1859"/>
      <c r="F148" s="1858">
        <f>SUM(F139:F147)</f>
        <v>335</v>
      </c>
      <c r="G148" s="1859"/>
      <c r="H148" s="1858">
        <f>SUM(H139:H147)</f>
        <v>330</v>
      </c>
      <c r="I148" s="1859"/>
      <c r="J148" s="1858">
        <f>SUM(J139:J147)</f>
        <v>342</v>
      </c>
      <c r="K148" s="1859"/>
      <c r="L148" s="1858">
        <f>SUM(L139:L147)</f>
        <v>399</v>
      </c>
      <c r="M148" s="1859"/>
      <c r="N148" s="969">
        <f>AVERAGE(B148:F148)</f>
        <v>322</v>
      </c>
      <c r="O148" s="970"/>
      <c r="P148" s="969">
        <f>AVERAGE(H148:L148)</f>
        <v>357</v>
      </c>
      <c r="Q148" s="970"/>
      <c r="R148" s="971">
        <f>P148-N148</f>
        <v>35</v>
      </c>
      <c r="S148" s="2749"/>
      <c r="T148" s="3553">
        <f>D148/('Student Enrollment BRS VIII '!B529+'Student Enrollment BRS VIII '!B533)</f>
        <v>0.12423532965788084</v>
      </c>
      <c r="U148" s="3554"/>
      <c r="V148" s="3554">
        <f>F148/('Student Enrollment BRS VIII '!D529+'Student Enrollment BRS VIII '!D533)</f>
        <v>0.12190684133915575</v>
      </c>
      <c r="W148" s="3554"/>
      <c r="X148" s="3554">
        <f>H148/('Student Enrollment BRS VIII '!F529+'Student Enrollment BRS VIII '!F533)</f>
        <v>0.11260492731863783</v>
      </c>
      <c r="Y148" s="3554"/>
      <c r="Z148" s="3554">
        <f>J148/('Student Enrollment BRS VIII '!H529+'Student Enrollment BRS VIII '!H533)</f>
        <v>0.10658854328990836</v>
      </c>
      <c r="AA148" s="3554"/>
      <c r="AB148" s="3555">
        <f>L148/('Student Enrollment BRS VIII '!J529+'Student Enrollment BRS VIII '!J533)</f>
        <v>0.1165644171779141</v>
      </c>
    </row>
    <row r="149" spans="1:28" s="2354" customFormat="1" ht="13.8" thickBot="1">
      <c r="A149" s="2357"/>
      <c r="F149" s="2355"/>
      <c r="N149" s="957"/>
      <c r="O149" s="957"/>
      <c r="P149" s="957"/>
      <c r="Q149" s="957"/>
      <c r="R149" s="957"/>
      <c r="S149" s="2749"/>
      <c r="T149" s="3244"/>
      <c r="W149" s="3260"/>
    </row>
    <row r="150" spans="1:28" s="2356" customFormat="1" ht="27" thickBot="1">
      <c r="A150" s="442" t="s">
        <v>217</v>
      </c>
      <c r="B150" s="2362" t="s">
        <v>2</v>
      </c>
      <c r="C150" s="2294"/>
      <c r="D150" s="2363" t="s">
        <v>3</v>
      </c>
      <c r="E150" s="2294"/>
      <c r="F150" s="2364" t="s">
        <v>4</v>
      </c>
      <c r="G150" s="2294"/>
      <c r="H150" s="2361" t="s">
        <v>5</v>
      </c>
      <c r="I150" s="2294"/>
      <c r="J150" s="2361" t="s">
        <v>6</v>
      </c>
      <c r="K150" s="2294"/>
      <c r="L150" s="2361" t="s">
        <v>7</v>
      </c>
      <c r="M150" s="2294"/>
      <c r="N150" s="959" t="s">
        <v>33</v>
      </c>
      <c r="O150" s="960"/>
      <c r="P150" s="959" t="s">
        <v>34</v>
      </c>
      <c r="Q150" s="960"/>
      <c r="R150" s="961" t="s">
        <v>35</v>
      </c>
      <c r="S150" s="3239"/>
      <c r="T150" s="3245"/>
      <c r="W150" s="3521"/>
    </row>
    <row r="151" spans="1:28" s="2354" customFormat="1">
      <c r="A151" s="2359" t="s">
        <v>28</v>
      </c>
      <c r="B151" s="2367"/>
      <c r="C151" s="2299"/>
      <c r="D151" s="2368"/>
      <c r="E151" s="2299"/>
      <c r="F151" s="2368"/>
      <c r="G151" s="2299"/>
      <c r="H151" s="2368"/>
      <c r="I151" s="2299"/>
      <c r="J151" s="2368"/>
      <c r="K151" s="2299"/>
      <c r="L151" s="2368"/>
      <c r="M151" s="2299"/>
      <c r="N151" s="962"/>
      <c r="O151" s="963"/>
      <c r="P151" s="962"/>
      <c r="Q151" s="963"/>
      <c r="R151" s="964"/>
      <c r="S151" s="2749"/>
      <c r="T151" s="3244"/>
      <c r="W151" s="3260"/>
    </row>
    <row r="152" spans="1:28" s="2354" customFormat="1" ht="13.8" thickBot="1">
      <c r="A152" s="2359"/>
      <c r="B152" s="2367"/>
      <c r="C152" s="2299"/>
      <c r="D152" s="2368"/>
      <c r="E152" s="2299"/>
      <c r="F152" s="2368"/>
      <c r="G152" s="2299"/>
      <c r="H152" s="2368"/>
      <c r="I152" s="2299"/>
      <c r="J152" s="2368"/>
      <c r="K152" s="2299"/>
      <c r="L152" s="2368"/>
      <c r="M152" s="2299"/>
      <c r="N152" s="962"/>
      <c r="O152" s="963"/>
      <c r="P152" s="962"/>
      <c r="Q152" s="963"/>
      <c r="R152" s="964"/>
      <c r="S152" s="2749"/>
      <c r="T152" s="3244"/>
      <c r="W152" s="3260"/>
    </row>
    <row r="153" spans="1:28" s="2354" customFormat="1">
      <c r="A153" s="2359" t="s">
        <v>65</v>
      </c>
      <c r="B153" s="2369"/>
      <c r="C153" s="2301"/>
      <c r="D153" s="2370"/>
      <c r="E153" s="2301"/>
      <c r="F153" s="2370"/>
      <c r="G153" s="2301"/>
      <c r="H153" s="2370"/>
      <c r="I153" s="2301"/>
      <c r="J153" s="2370"/>
      <c r="K153" s="2301"/>
      <c r="L153" s="2370"/>
      <c r="M153" s="2301"/>
      <c r="N153" s="962"/>
      <c r="O153" s="963"/>
      <c r="P153" s="962"/>
      <c r="Q153" s="963"/>
      <c r="R153" s="964"/>
      <c r="S153" s="2749"/>
      <c r="T153" s="4483" t="s">
        <v>365</v>
      </c>
      <c r="U153" s="4484"/>
      <c r="V153" s="4484"/>
      <c r="W153" s="4484"/>
      <c r="X153" s="4484"/>
      <c r="Y153" s="4484"/>
      <c r="Z153" s="4484"/>
      <c r="AA153" s="4484"/>
      <c r="AB153" s="4485"/>
    </row>
    <row r="154" spans="1:28" s="2354" customFormat="1" ht="13.8" thickBot="1">
      <c r="A154" s="2359"/>
      <c r="B154" s="2369"/>
      <c r="C154" s="2301"/>
      <c r="D154" s="2370"/>
      <c r="E154" s="2301"/>
      <c r="F154" s="2370"/>
      <c r="G154" s="2301"/>
      <c r="H154" s="2370"/>
      <c r="I154" s="2301"/>
      <c r="J154" s="2370"/>
      <c r="K154" s="2301"/>
      <c r="L154" s="2370"/>
      <c r="M154" s="2301"/>
      <c r="N154" s="962"/>
      <c r="O154" s="965"/>
      <c r="P154" s="962"/>
      <c r="Q154" s="965"/>
      <c r="R154" s="964"/>
      <c r="S154" s="2749"/>
      <c r="T154" s="3052">
        <v>2007</v>
      </c>
      <c r="U154" s="3032"/>
      <c r="V154" s="3032">
        <v>2008</v>
      </c>
      <c r="W154" s="3032"/>
      <c r="X154" s="3032">
        <v>2009</v>
      </c>
      <c r="Y154" s="3032"/>
      <c r="Z154" s="3032">
        <v>2010</v>
      </c>
      <c r="AA154" s="3032"/>
      <c r="AB154" s="3545">
        <v>2011</v>
      </c>
    </row>
    <row r="155" spans="1:28" s="2354" customFormat="1">
      <c r="A155" s="2359" t="s">
        <v>29</v>
      </c>
      <c r="B155" s="2398">
        <v>1262</v>
      </c>
      <c r="C155" s="2399"/>
      <c r="D155" s="2400">
        <v>1201</v>
      </c>
      <c r="E155" s="2399"/>
      <c r="F155" s="2400">
        <v>1232</v>
      </c>
      <c r="G155" s="2399"/>
      <c r="H155" s="2404">
        <v>1249</v>
      </c>
      <c r="I155" s="2405"/>
      <c r="J155" s="2404">
        <v>1085</v>
      </c>
      <c r="K155" s="2405"/>
      <c r="L155" s="2404">
        <v>1058</v>
      </c>
      <c r="M155" s="2301"/>
      <c r="N155" s="962">
        <f>AVERAGE(B155:F155)</f>
        <v>1231.6666666666667</v>
      </c>
      <c r="O155" s="963"/>
      <c r="P155" s="962">
        <f>AVERAGE(H155:L155)</f>
        <v>1130.6666666666667</v>
      </c>
      <c r="Q155" s="963"/>
      <c r="R155" s="964">
        <f>P155-N155</f>
        <v>-101</v>
      </c>
      <c r="S155" s="2749"/>
      <c r="T155" s="3546">
        <f>D155/'Student Enrollment BRS VIII '!B565</f>
        <v>0.16806840286038149</v>
      </c>
      <c r="U155" s="3547"/>
      <c r="V155" s="3547">
        <f>F155/'Student Enrollment BRS VIII '!D565</f>
        <v>0.17712601538350944</v>
      </c>
      <c r="W155" s="3547"/>
      <c r="X155" s="3547">
        <f>H155/'Student Enrollment BRS VIII '!F565</f>
        <v>0.18619281167543714</v>
      </c>
      <c r="Y155" s="3547"/>
      <c r="Z155" s="3547">
        <f>J155/'Student Enrollment BRS VIII '!H565</f>
        <v>0.15885797950219618</v>
      </c>
      <c r="AA155" s="3547"/>
      <c r="AB155" s="3548">
        <f>L155/'Student Enrollment BRS VIII '!J565</f>
        <v>0.14131538173852648</v>
      </c>
    </row>
    <row r="156" spans="1:28" s="2354" customFormat="1">
      <c r="A156" s="2359"/>
      <c r="B156" s="2398"/>
      <c r="C156" s="2399"/>
      <c r="D156" s="2400"/>
      <c r="E156" s="2399"/>
      <c r="F156" s="2400"/>
      <c r="G156" s="2399"/>
      <c r="H156" s="2400"/>
      <c r="I156" s="2399"/>
      <c r="J156" s="2400"/>
      <c r="K156" s="2399"/>
      <c r="L156" s="2400"/>
      <c r="M156" s="2301"/>
      <c r="N156" s="962"/>
      <c r="O156" s="965"/>
      <c r="P156" s="962"/>
      <c r="Q156" s="965"/>
      <c r="R156" s="964"/>
      <c r="S156" s="2749"/>
      <c r="T156" s="3549"/>
      <c r="U156" s="3550"/>
      <c r="V156" s="3550"/>
      <c r="W156" s="3551"/>
      <c r="X156" s="3550"/>
      <c r="Y156" s="3550"/>
      <c r="Z156" s="3550"/>
      <c r="AA156" s="3550"/>
      <c r="AB156" s="3552"/>
    </row>
    <row r="157" spans="1:28" s="2354" customFormat="1">
      <c r="A157" s="2359" t="s">
        <v>30</v>
      </c>
      <c r="B157" s="2398">
        <v>244</v>
      </c>
      <c r="C157" s="2399"/>
      <c r="D157" s="2400">
        <v>267</v>
      </c>
      <c r="E157" s="2399"/>
      <c r="F157" s="2400">
        <v>250</v>
      </c>
      <c r="G157" s="2399"/>
      <c r="H157" s="2400">
        <v>246</v>
      </c>
      <c r="I157" s="2399"/>
      <c r="J157" s="2400">
        <v>241</v>
      </c>
      <c r="K157" s="2399"/>
      <c r="L157" s="2400">
        <v>246</v>
      </c>
      <c r="M157" s="2301"/>
      <c r="N157" s="962">
        <f>AVERAGE(B157:F157)</f>
        <v>253.66666666666666</v>
      </c>
      <c r="O157" s="963"/>
      <c r="P157" s="962">
        <f>AVERAGE(H157:L157)</f>
        <v>244.33333333333334</v>
      </c>
      <c r="Q157" s="963"/>
      <c r="R157" s="964">
        <f>P157-N157</f>
        <v>-9.3333333333333144</v>
      </c>
      <c r="S157" s="2749"/>
      <c r="T157" s="3546">
        <f>(D157+D159)/('Student Enrollment BRS VIII '!B569+'Student Enrollment BRS VIII '!B573)</f>
        <v>0.42303338992642903</v>
      </c>
      <c r="U157" s="3547"/>
      <c r="V157" s="3547">
        <f>(F157+F159)/('Student Enrollment BRS VIII '!D569+'Student Enrollment BRS VIII '!D573)</f>
        <v>0.37844343407328163</v>
      </c>
      <c r="W157" s="3547"/>
      <c r="X157" s="3547">
        <f>(H157+H159)/('Student Enrollment BRS VIII '!F569+'Student Enrollment BRS VIII '!F573)</f>
        <v>0.33949866147481139</v>
      </c>
      <c r="Y157" s="3547"/>
      <c r="Z157" s="3547">
        <f>(J157+J159)/('Student Enrollment BRS VIII '!H569+'Student Enrollment BRS VIII '!H573)</f>
        <v>0.35454661395230197</v>
      </c>
      <c r="AA157" s="3547"/>
      <c r="AB157" s="3548">
        <f>(L157+L159)/('Student Enrollment BRS VIII '!J569+'Student Enrollment BRS VIII '!J573)</f>
        <v>0.3464488987874289</v>
      </c>
    </row>
    <row r="158" spans="1:28" s="2354" customFormat="1">
      <c r="A158" s="2359"/>
      <c r="B158" s="2398"/>
      <c r="C158" s="2399"/>
      <c r="D158" s="2400"/>
      <c r="E158" s="2399"/>
      <c r="F158" s="2400"/>
      <c r="G158" s="2399"/>
      <c r="H158" s="2400"/>
      <c r="I158" s="2399"/>
      <c r="J158" s="2400"/>
      <c r="K158" s="2399"/>
      <c r="L158" s="2400"/>
      <c r="M158" s="2301"/>
      <c r="N158" s="962"/>
      <c r="O158" s="965"/>
      <c r="P158" s="962"/>
      <c r="Q158" s="965"/>
      <c r="R158" s="964"/>
      <c r="S158" s="2749"/>
      <c r="T158" s="3549"/>
      <c r="U158" s="3550"/>
      <c r="V158" s="3550"/>
      <c r="W158" s="3551"/>
      <c r="X158" s="3550"/>
      <c r="Y158" s="3550"/>
      <c r="Z158" s="3550"/>
      <c r="AA158" s="3550"/>
      <c r="AB158" s="3552"/>
    </row>
    <row r="159" spans="1:28" s="2354" customFormat="1" ht="13.8" thickBot="1">
      <c r="A159" s="2360" t="s">
        <v>31</v>
      </c>
      <c r="B159" s="2401">
        <v>39</v>
      </c>
      <c r="C159" s="2402"/>
      <c r="D159" s="2403">
        <v>32</v>
      </c>
      <c r="E159" s="2402"/>
      <c r="F159" s="2403">
        <v>33</v>
      </c>
      <c r="G159" s="2402"/>
      <c r="H159" s="2403">
        <v>33</v>
      </c>
      <c r="I159" s="2402"/>
      <c r="J159" s="2403">
        <v>37</v>
      </c>
      <c r="K159" s="2402"/>
      <c r="L159" s="2403">
        <v>34</v>
      </c>
      <c r="M159" s="1866"/>
      <c r="N159" s="966">
        <f>AVERAGE(B159:F159)</f>
        <v>34.666666666666664</v>
      </c>
      <c r="O159" s="967"/>
      <c r="P159" s="966">
        <f>AVERAGE(H159:L159)</f>
        <v>34.666666666666664</v>
      </c>
      <c r="Q159" s="967"/>
      <c r="R159" s="968">
        <f>P159-N159</f>
        <v>0</v>
      </c>
      <c r="S159" s="2749"/>
      <c r="T159" s="3561"/>
      <c r="U159" s="3557"/>
      <c r="V159" s="3558"/>
      <c r="W159" s="3559"/>
      <c r="X159" s="3558"/>
      <c r="Y159" s="3557"/>
      <c r="Z159" s="3558"/>
      <c r="AA159" s="3557"/>
      <c r="AB159" s="3560"/>
    </row>
    <row r="160" spans="1:28" s="2354" customFormat="1" ht="14.4" thickTop="1" thickBot="1">
      <c r="A160" s="2358" t="s">
        <v>32</v>
      </c>
      <c r="B160" s="2365">
        <f>SUM(B151:B159)</f>
        <v>1545</v>
      </c>
      <c r="C160" s="1859"/>
      <c r="D160" s="2366">
        <f>SUM(D151:D159)</f>
        <v>1500</v>
      </c>
      <c r="E160" s="1859"/>
      <c r="F160" s="2366">
        <f>SUM(F151:F159)</f>
        <v>1515</v>
      </c>
      <c r="G160" s="1859"/>
      <c r="H160" s="2366">
        <f>SUM(H151:H159)</f>
        <v>1528</v>
      </c>
      <c r="I160" s="1859"/>
      <c r="J160" s="2366">
        <f>SUM(J151:J159)</f>
        <v>1363</v>
      </c>
      <c r="K160" s="1859"/>
      <c r="L160" s="2366">
        <f>SUM(L151:L159)</f>
        <v>1338</v>
      </c>
      <c r="M160" s="1859"/>
      <c r="N160" s="969">
        <f>AVERAGE(B160:F160)</f>
        <v>1520</v>
      </c>
      <c r="O160" s="970"/>
      <c r="P160" s="969">
        <f>AVERAGE(H160:L160)</f>
        <v>1409.6666666666667</v>
      </c>
      <c r="Q160" s="970"/>
      <c r="R160" s="971">
        <f>P160-N160</f>
        <v>-110.33333333333326</v>
      </c>
      <c r="S160" s="2749"/>
      <c r="T160" s="3553">
        <f>D160/('Student Enrollment BRS VIII '!B565+'Student Enrollment BRS VIII '!B569+'Student Enrollment BRS VIII '!B573)</f>
        <v>0.19101710239790137</v>
      </c>
      <c r="U160" s="3554"/>
      <c r="V160" s="3554">
        <f>F160/('Student Enrollment BRS VIII '!D565+'Student Enrollment BRS VIII '!D569+'Student Enrollment BRS VIII '!D573)</f>
        <v>0.19666896005607987</v>
      </c>
      <c r="W160" s="3554"/>
      <c r="X160" s="3554">
        <f>H160/('Student Enrollment BRS VIII '!F565+'Student Enrollment BRS VIII '!F569+'Student Enrollment BRS VIII '!F573)</f>
        <v>0.20292434162472275</v>
      </c>
      <c r="Y160" s="3554"/>
      <c r="Z160" s="3554">
        <f>J160/('Student Enrollment BRS VIII '!H565+'Student Enrollment BRS VIII '!H569+'Student Enrollment BRS VIII '!H573)</f>
        <v>0.17900999461525327</v>
      </c>
      <c r="AA160" s="3554"/>
      <c r="AB160" s="3555">
        <f>L160/('Student Enrollment BRS VIII '!J565+'Student Enrollment BRS VIII '!J569+'Student Enrollment BRS VIII '!J573)</f>
        <v>0.16130198915009042</v>
      </c>
    </row>
    <row r="161" spans="1:28" s="2492" customFormat="1" ht="13.8" thickBot="1">
      <c r="A161" s="2495"/>
      <c r="F161" s="2493"/>
      <c r="N161" s="957"/>
      <c r="O161" s="957"/>
      <c r="P161" s="957"/>
      <c r="Q161" s="957"/>
      <c r="R161" s="957"/>
      <c r="S161" s="2749"/>
      <c r="T161" s="3244"/>
      <c r="W161" s="3260"/>
    </row>
    <row r="162" spans="1:28" s="2494" customFormat="1" ht="27" thickBot="1">
      <c r="A162" s="442" t="s">
        <v>224</v>
      </c>
      <c r="B162" s="2500" t="s">
        <v>2</v>
      </c>
      <c r="C162" s="2501"/>
      <c r="D162" s="2502" t="s">
        <v>3</v>
      </c>
      <c r="E162" s="2501"/>
      <c r="F162" s="2503" t="s">
        <v>4</v>
      </c>
      <c r="G162" s="2501"/>
      <c r="H162" s="2499" t="s">
        <v>5</v>
      </c>
      <c r="I162" s="2501"/>
      <c r="J162" s="2499" t="s">
        <v>6</v>
      </c>
      <c r="K162" s="2501"/>
      <c r="L162" s="2499" t="s">
        <v>7</v>
      </c>
      <c r="M162" s="2501"/>
      <c r="N162" s="959" t="s">
        <v>33</v>
      </c>
      <c r="O162" s="960"/>
      <c r="P162" s="959" t="s">
        <v>34</v>
      </c>
      <c r="Q162" s="960"/>
      <c r="R162" s="961" t="s">
        <v>35</v>
      </c>
      <c r="S162" s="3239"/>
      <c r="T162" s="3245"/>
      <c r="W162" s="3521"/>
    </row>
    <row r="163" spans="1:28" s="2492" customFormat="1">
      <c r="A163" s="2497" t="s">
        <v>28</v>
      </c>
      <c r="B163" s="2507"/>
      <c r="C163" s="2508"/>
      <c r="D163" s="2509"/>
      <c r="E163" s="2508"/>
      <c r="F163" s="2509"/>
      <c r="G163" s="2508"/>
      <c r="H163" s="2509"/>
      <c r="I163" s="2508"/>
      <c r="J163" s="2509"/>
      <c r="K163" s="2508"/>
      <c r="L163" s="2509"/>
      <c r="M163" s="2508"/>
      <c r="N163" s="962"/>
      <c r="O163" s="963"/>
      <c r="P163" s="962"/>
      <c r="Q163" s="963"/>
      <c r="R163" s="964"/>
      <c r="S163" s="2749"/>
      <c r="T163" s="3244"/>
      <c r="W163" s="3260"/>
    </row>
    <row r="164" spans="1:28" s="2492" customFormat="1" ht="13.8" thickBot="1">
      <c r="A164" s="2497"/>
      <c r="B164" s="2507"/>
      <c r="C164" s="2508"/>
      <c r="D164" s="2509"/>
      <c r="E164" s="2508"/>
      <c r="F164" s="2509"/>
      <c r="G164" s="2508"/>
      <c r="H164" s="2509"/>
      <c r="I164" s="2508"/>
      <c r="J164" s="2509"/>
      <c r="K164" s="2508"/>
      <c r="L164" s="2509"/>
      <c r="M164" s="2508"/>
      <c r="N164" s="962"/>
      <c r="O164" s="963"/>
      <c r="P164" s="962"/>
      <c r="Q164" s="963"/>
      <c r="R164" s="964"/>
      <c r="S164" s="2749"/>
      <c r="T164" s="3244"/>
      <c r="W164" s="3260"/>
    </row>
    <row r="165" spans="1:28" s="2492" customFormat="1">
      <c r="A165" s="2497" t="s">
        <v>65</v>
      </c>
      <c r="B165" s="2510"/>
      <c r="C165" s="2511"/>
      <c r="D165" s="2512"/>
      <c r="E165" s="2511"/>
      <c r="F165" s="2512"/>
      <c r="G165" s="2511"/>
      <c r="H165" s="2512"/>
      <c r="I165" s="2511"/>
      <c r="J165" s="2512"/>
      <c r="K165" s="2511"/>
      <c r="L165" s="2512"/>
      <c r="M165" s="2511"/>
      <c r="N165" s="962"/>
      <c r="O165" s="963"/>
      <c r="P165" s="962"/>
      <c r="Q165" s="963"/>
      <c r="R165" s="964"/>
      <c r="S165" s="2749"/>
      <c r="T165" s="4483" t="s">
        <v>365</v>
      </c>
      <c r="U165" s="4484"/>
      <c r="V165" s="4484"/>
      <c r="W165" s="4484"/>
      <c r="X165" s="4484"/>
      <c r="Y165" s="4484"/>
      <c r="Z165" s="4484"/>
      <c r="AA165" s="4484"/>
      <c r="AB165" s="4485"/>
    </row>
    <row r="166" spans="1:28" s="2492" customFormat="1" ht="13.8" thickBot="1">
      <c r="A166" s="2497"/>
      <c r="B166" s="2510"/>
      <c r="C166" s="2511"/>
      <c r="D166" s="2512"/>
      <c r="E166" s="2511"/>
      <c r="F166" s="2512"/>
      <c r="G166" s="2511"/>
      <c r="H166" s="2512"/>
      <c r="I166" s="2511"/>
      <c r="J166" s="2512"/>
      <c r="K166" s="2511"/>
      <c r="L166" s="2512"/>
      <c r="M166" s="2511"/>
      <c r="N166" s="962"/>
      <c r="O166" s="965"/>
      <c r="P166" s="962"/>
      <c r="Q166" s="965"/>
      <c r="R166" s="964"/>
      <c r="S166" s="2749"/>
      <c r="T166" s="3052">
        <v>2007</v>
      </c>
      <c r="U166" s="3032"/>
      <c r="V166" s="3032">
        <v>2008</v>
      </c>
      <c r="W166" s="3032"/>
      <c r="X166" s="3032">
        <v>2009</v>
      </c>
      <c r="Y166" s="3032"/>
      <c r="Z166" s="3032">
        <v>2010</v>
      </c>
      <c r="AA166" s="3032"/>
      <c r="AB166" s="3545">
        <v>2011</v>
      </c>
    </row>
    <row r="167" spans="1:28" s="2492" customFormat="1">
      <c r="A167" s="2497" t="s">
        <v>29</v>
      </c>
      <c r="B167" s="2538">
        <v>2927</v>
      </c>
      <c r="C167" s="2539"/>
      <c r="D167" s="2630">
        <v>2910</v>
      </c>
      <c r="E167" s="2539"/>
      <c r="F167" s="2540">
        <v>2737</v>
      </c>
      <c r="G167" s="2539"/>
      <c r="H167" s="2540">
        <v>2428</v>
      </c>
      <c r="I167" s="2539"/>
      <c r="J167" s="2540">
        <v>2406</v>
      </c>
      <c r="K167" s="2539"/>
      <c r="L167" s="2540">
        <v>2489</v>
      </c>
      <c r="M167" s="2511"/>
      <c r="N167" s="962">
        <f>AVERAGE(B167:F167)</f>
        <v>2858</v>
      </c>
      <c r="O167" s="963"/>
      <c r="P167" s="962">
        <f>AVERAGE(H167:L167)</f>
        <v>2441</v>
      </c>
      <c r="Q167" s="963"/>
      <c r="R167" s="964">
        <f>P167-N167</f>
        <v>-417</v>
      </c>
      <c r="S167" s="2749"/>
      <c r="T167" s="3546">
        <f>D167/'Student Enrollment BRS VIII '!B601</f>
        <v>0.20136453187278772</v>
      </c>
      <c r="U167" s="3547"/>
      <c r="V167" s="3547">
        <f>F167/'Student Enrollment BRS VIII '!D601</f>
        <v>0.19422818000389308</v>
      </c>
      <c r="W167" s="3547"/>
      <c r="X167" s="3547">
        <f>H167/'Student Enrollment BRS VIII '!F601</f>
        <v>0.1699816947637027</v>
      </c>
      <c r="Y167" s="3547"/>
      <c r="Z167" s="3547">
        <f>J167/'Student Enrollment BRS VIII '!H601</f>
        <v>0.16031647511646432</v>
      </c>
      <c r="AA167" s="3547"/>
      <c r="AB167" s="3548">
        <f>L167/'Student Enrollment BRS VIII '!J601</f>
        <v>0.16239610792183742</v>
      </c>
    </row>
    <row r="168" spans="1:28" s="2492" customFormat="1">
      <c r="A168" s="2497"/>
      <c r="B168" s="2538"/>
      <c r="C168" s="2539"/>
      <c r="D168" s="2630"/>
      <c r="E168" s="2539"/>
      <c r="F168" s="2540"/>
      <c r="G168" s="2539"/>
      <c r="H168" s="2540"/>
      <c r="I168" s="2539"/>
      <c r="J168" s="2540"/>
      <c r="K168" s="2539"/>
      <c r="L168" s="2540"/>
      <c r="M168" s="2511"/>
      <c r="N168" s="962"/>
      <c r="O168" s="965"/>
      <c r="P168" s="962"/>
      <c r="Q168" s="965"/>
      <c r="R168" s="964"/>
      <c r="S168" s="2749"/>
      <c r="T168" s="3549"/>
      <c r="U168" s="3550"/>
      <c r="V168" s="3550"/>
      <c r="W168" s="3551"/>
      <c r="X168" s="3550"/>
      <c r="Y168" s="3550"/>
      <c r="Z168" s="3550"/>
      <c r="AA168" s="3550"/>
      <c r="AB168" s="3552"/>
    </row>
    <row r="169" spans="1:28" s="2492" customFormat="1">
      <c r="A169" s="2497" t="s">
        <v>30</v>
      </c>
      <c r="B169" s="2538">
        <v>752</v>
      </c>
      <c r="C169" s="2539"/>
      <c r="D169" s="2630">
        <v>611</v>
      </c>
      <c r="E169" s="2539"/>
      <c r="F169" s="2540">
        <v>640</v>
      </c>
      <c r="G169" s="2539"/>
      <c r="H169" s="2540">
        <v>729</v>
      </c>
      <c r="I169" s="2539"/>
      <c r="J169" s="2540">
        <v>869</v>
      </c>
      <c r="K169" s="2539"/>
      <c r="L169" s="2540">
        <v>947</v>
      </c>
      <c r="M169" s="2511"/>
      <c r="N169" s="962">
        <f>AVERAGE(B169:F169)</f>
        <v>667.66666666666663</v>
      </c>
      <c r="O169" s="963"/>
      <c r="P169" s="962">
        <f>AVERAGE(H169:L169)</f>
        <v>848.33333333333337</v>
      </c>
      <c r="Q169" s="963"/>
      <c r="R169" s="964">
        <f>P169-N169</f>
        <v>180.66666666666674</v>
      </c>
      <c r="S169" s="2749"/>
      <c r="T169" s="3546">
        <f>(D169+D171)/('Student Enrollment BRS VIII '!B605+'Student Enrollment BRS VIII '!B609)</f>
        <v>0.3810469622519399</v>
      </c>
      <c r="U169" s="3547"/>
      <c r="V169" s="3547">
        <f>(F169+F171)/('Student Enrollment BRS VIII '!D605+'Student Enrollment BRS VIII '!D609)</f>
        <v>0.37894828154944188</v>
      </c>
      <c r="W169" s="3547"/>
      <c r="X169" s="3547">
        <f>(H169+H171)/('Student Enrollment BRS VIII '!F605+'Student Enrollment BRS VIII '!F609)</f>
        <v>0.4137738555501948</v>
      </c>
      <c r="Y169" s="3547"/>
      <c r="Z169" s="3547">
        <f>(J169+J171)/('Student Enrollment BRS VIII '!H605+'Student Enrollment BRS VIII '!H609)</f>
        <v>0.44825323659325539</v>
      </c>
      <c r="AA169" s="3547"/>
      <c r="AB169" s="3548">
        <f>(L169+L171)/('Student Enrollment BRS VIII '!J605+'Student Enrollment BRS VIII '!J609)</f>
        <v>0.47783681824390628</v>
      </c>
    </row>
    <row r="170" spans="1:28" s="2492" customFormat="1">
      <c r="A170" s="2497"/>
      <c r="B170" s="2538"/>
      <c r="C170" s="2539"/>
      <c r="D170" s="2630"/>
      <c r="E170" s="2539"/>
      <c r="F170" s="2540"/>
      <c r="G170" s="2539"/>
      <c r="H170" s="2540"/>
      <c r="I170" s="2539"/>
      <c r="J170" s="2540"/>
      <c r="K170" s="2539"/>
      <c r="L170" s="2540"/>
      <c r="M170" s="2511"/>
      <c r="N170" s="962"/>
      <c r="O170" s="965"/>
      <c r="P170" s="962"/>
      <c r="Q170" s="965"/>
      <c r="R170" s="964"/>
      <c r="S170" s="2749"/>
      <c r="T170" s="3549"/>
      <c r="U170" s="3550"/>
      <c r="V170" s="3550"/>
      <c r="W170" s="3551"/>
      <c r="X170" s="3550"/>
      <c r="Y170" s="3550"/>
      <c r="Z170" s="3550"/>
      <c r="AA170" s="3550"/>
      <c r="AB170" s="3552"/>
    </row>
    <row r="171" spans="1:28" s="2492" customFormat="1" ht="13.8" thickBot="1">
      <c r="A171" s="2498" t="s">
        <v>31</v>
      </c>
      <c r="B171" s="2541">
        <v>38</v>
      </c>
      <c r="C171" s="2542"/>
      <c r="D171" s="2631">
        <v>29</v>
      </c>
      <c r="E171" s="2542"/>
      <c r="F171" s="2543">
        <v>24</v>
      </c>
      <c r="G171" s="2542"/>
      <c r="H171" s="2543">
        <v>36</v>
      </c>
      <c r="I171" s="2542"/>
      <c r="J171" s="2543">
        <v>28</v>
      </c>
      <c r="K171" s="2542"/>
      <c r="L171" s="2543">
        <v>43</v>
      </c>
      <c r="M171" s="2513"/>
      <c r="N171" s="966">
        <f>AVERAGE(B171:F171)</f>
        <v>30.333333333333332</v>
      </c>
      <c r="O171" s="967"/>
      <c r="P171" s="966">
        <f>AVERAGE(H171:L171)</f>
        <v>35.666666666666664</v>
      </c>
      <c r="Q171" s="967"/>
      <c r="R171" s="968">
        <f>P171-N171</f>
        <v>5.3333333333333321</v>
      </c>
      <c r="S171" s="2749"/>
      <c r="T171" s="3561"/>
      <c r="U171" s="3557"/>
      <c r="V171" s="3558"/>
      <c r="W171" s="3559"/>
      <c r="X171" s="3558"/>
      <c r="Y171" s="3557"/>
      <c r="Z171" s="3558"/>
      <c r="AA171" s="3557"/>
      <c r="AB171" s="3560"/>
    </row>
    <row r="172" spans="1:28" s="2492" customFormat="1" ht="14.4" thickTop="1" thickBot="1">
      <c r="A172" s="2496" t="s">
        <v>32</v>
      </c>
      <c r="B172" s="2504">
        <f>SUM(B163:B171)</f>
        <v>3717</v>
      </c>
      <c r="C172" s="2506"/>
      <c r="D172" s="2505">
        <f>SUM(D163:D171)</f>
        <v>3550</v>
      </c>
      <c r="E172" s="2506"/>
      <c r="F172" s="2505">
        <f>SUM(F163:F171)</f>
        <v>3401</v>
      </c>
      <c r="G172" s="2506"/>
      <c r="H172" s="2505">
        <f>SUM(H163:H171)</f>
        <v>3193</v>
      </c>
      <c r="I172" s="2506"/>
      <c r="J172" s="2505">
        <f>SUM(J163:J171)</f>
        <v>3303</v>
      </c>
      <c r="K172" s="2506"/>
      <c r="L172" s="2505">
        <f>SUM(L163:L171)</f>
        <v>3479</v>
      </c>
      <c r="M172" s="2506"/>
      <c r="N172" s="969">
        <f>AVERAGE(B172:F172)</f>
        <v>3556</v>
      </c>
      <c r="O172" s="970"/>
      <c r="P172" s="969">
        <f>AVERAGE(H172:L172)</f>
        <v>3325</v>
      </c>
      <c r="Q172" s="970"/>
      <c r="R172" s="971">
        <f>P172-N172</f>
        <v>-231</v>
      </c>
      <c r="S172" s="2749"/>
      <c r="T172" s="3553">
        <f>D172/('Student Enrollment BRS VIII '!B601+'Student Enrollment BRS VIII '!B605+'Student Enrollment BRS VIII '!B609)</f>
        <v>0.22007334207592766</v>
      </c>
      <c r="U172" s="3554"/>
      <c r="V172" s="3554">
        <f>F172/('Student Enrollment BRS VIII '!D601+'Student Enrollment BRS VIII '!D605+'Student Enrollment BRS VIII '!D609)</f>
        <v>0.21465686680121693</v>
      </c>
      <c r="W172" s="3554"/>
      <c r="X172" s="3554">
        <f>H172/('Student Enrollment BRS VIII '!F601+'Student Enrollment BRS VIII '!F605+'Student Enrollment BRS VIII '!F609)</f>
        <v>0.19792066152238244</v>
      </c>
      <c r="Y172" s="3554"/>
      <c r="Z172" s="3554">
        <f>J172/('Student Enrollment BRS VIII '!H601+'Student Enrollment BRS VIII '!H605+'Student Enrollment BRS VIII '!H609)</f>
        <v>0.19419226951323645</v>
      </c>
      <c r="AA172" s="3554"/>
      <c r="AB172" s="3555">
        <f>L172/('Student Enrollment BRS VIII '!J601+'Student Enrollment BRS VIII '!J605+'Student Enrollment BRS VIII '!J609)</f>
        <v>0.19995908856589789</v>
      </c>
    </row>
    <row r="173" spans="1:28" s="2670" customFormat="1" ht="13.8" thickBot="1">
      <c r="A173" s="2680"/>
      <c r="F173" s="2681"/>
      <c r="N173" s="957"/>
      <c r="O173" s="957"/>
      <c r="P173" s="957"/>
      <c r="Q173" s="957"/>
      <c r="R173" s="957"/>
      <c r="S173" s="2749"/>
      <c r="T173" s="3244"/>
      <c r="W173" s="3260"/>
    </row>
    <row r="174" spans="1:28" s="2676" customFormat="1" ht="27" thickBot="1">
      <c r="A174" s="442" t="s">
        <v>225</v>
      </c>
      <c r="B174" s="2671" t="s">
        <v>2</v>
      </c>
      <c r="C174" s="2672"/>
      <c r="D174" s="2673" t="s">
        <v>3</v>
      </c>
      <c r="E174" s="2672"/>
      <c r="F174" s="2674" t="s">
        <v>4</v>
      </c>
      <c r="G174" s="2672"/>
      <c r="H174" s="2675" t="s">
        <v>5</v>
      </c>
      <c r="I174" s="2672"/>
      <c r="J174" s="2675" t="s">
        <v>6</v>
      </c>
      <c r="K174" s="2672"/>
      <c r="L174" s="2675" t="s">
        <v>7</v>
      </c>
      <c r="M174" s="2672"/>
      <c r="N174" s="959" t="s">
        <v>33</v>
      </c>
      <c r="O174" s="960"/>
      <c r="P174" s="959" t="s">
        <v>34</v>
      </c>
      <c r="Q174" s="960"/>
      <c r="R174" s="961" t="s">
        <v>35</v>
      </c>
      <c r="S174" s="3239"/>
      <c r="T174" s="3245"/>
      <c r="W174" s="3521"/>
    </row>
    <row r="175" spans="1:28" s="2670" customFormat="1">
      <c r="A175" s="2677" t="s">
        <v>28</v>
      </c>
      <c r="B175" s="2616"/>
      <c r="C175" s="2617"/>
      <c r="D175" s="2618"/>
      <c r="E175" s="2617"/>
      <c r="F175" s="2618"/>
      <c r="G175" s="2617"/>
      <c r="H175" s="2618"/>
      <c r="I175" s="2617"/>
      <c r="J175" s="2618"/>
      <c r="K175" s="2617"/>
      <c r="L175" s="2618"/>
      <c r="M175" s="2617"/>
      <c r="N175" s="962"/>
      <c r="O175" s="963"/>
      <c r="P175" s="962"/>
      <c r="Q175" s="963"/>
      <c r="R175" s="964"/>
      <c r="S175" s="2749"/>
      <c r="T175" s="3244"/>
      <c r="W175" s="3260"/>
    </row>
    <row r="176" spans="1:28" s="2670" customFormat="1" ht="13.8" thickBot="1">
      <c r="A176" s="2677"/>
      <c r="B176" s="2616"/>
      <c r="C176" s="2617"/>
      <c r="D176" s="2618"/>
      <c r="E176" s="2617"/>
      <c r="F176" s="2618"/>
      <c r="G176" s="2617"/>
      <c r="H176" s="2618"/>
      <c r="I176" s="2617"/>
      <c r="J176" s="2618"/>
      <c r="K176" s="2617"/>
      <c r="L176" s="2618"/>
      <c r="M176" s="2617"/>
      <c r="N176" s="962"/>
      <c r="O176" s="963"/>
      <c r="P176" s="962"/>
      <c r="Q176" s="963"/>
      <c r="R176" s="964"/>
      <c r="S176" s="2749"/>
      <c r="T176" s="3244"/>
      <c r="W176" s="3260"/>
    </row>
    <row r="177" spans="1:28" s="2670" customFormat="1">
      <c r="A177" s="2677" t="s">
        <v>65</v>
      </c>
      <c r="B177" s="2619"/>
      <c r="C177" s="2620"/>
      <c r="D177" s="2621"/>
      <c r="E177" s="2620"/>
      <c r="F177" s="2621"/>
      <c r="G177" s="2620"/>
      <c r="H177" s="2621"/>
      <c r="I177" s="2620"/>
      <c r="J177" s="2621"/>
      <c r="K177" s="2620"/>
      <c r="L177" s="2621"/>
      <c r="M177" s="2620"/>
      <c r="N177" s="962"/>
      <c r="O177" s="963"/>
      <c r="P177" s="962"/>
      <c r="Q177" s="963"/>
      <c r="R177" s="964"/>
      <c r="S177" s="2749"/>
      <c r="T177" s="4483" t="s">
        <v>365</v>
      </c>
      <c r="U177" s="4484"/>
      <c r="V177" s="4484"/>
      <c r="W177" s="4484"/>
      <c r="X177" s="4484"/>
      <c r="Y177" s="4484"/>
      <c r="Z177" s="4484"/>
      <c r="AA177" s="4484"/>
      <c r="AB177" s="4485"/>
    </row>
    <row r="178" spans="1:28" s="2670" customFormat="1" ht="13.8" thickBot="1">
      <c r="A178" s="2677"/>
      <c r="B178" s="2619"/>
      <c r="C178" s="2620"/>
      <c r="D178" s="2621"/>
      <c r="E178" s="2620"/>
      <c r="F178" s="2621"/>
      <c r="G178" s="2620"/>
      <c r="H178" s="2621"/>
      <c r="I178" s="2620"/>
      <c r="J178" s="2621"/>
      <c r="K178" s="2620"/>
      <c r="L178" s="2621"/>
      <c r="M178" s="2620"/>
      <c r="N178" s="962"/>
      <c r="O178" s="965"/>
      <c r="P178" s="962"/>
      <c r="Q178" s="965"/>
      <c r="R178" s="964"/>
      <c r="S178" s="2749"/>
      <c r="T178" s="3052">
        <v>2007</v>
      </c>
      <c r="U178" s="3032"/>
      <c r="V178" s="3032">
        <v>2008</v>
      </c>
      <c r="W178" s="3032"/>
      <c r="X178" s="3032">
        <v>2009</v>
      </c>
      <c r="Y178" s="3032"/>
      <c r="Z178" s="3032">
        <v>2010</v>
      </c>
      <c r="AA178" s="3032"/>
      <c r="AB178" s="3545">
        <v>2011</v>
      </c>
    </row>
    <row r="179" spans="1:28" s="2670" customFormat="1">
      <c r="A179" s="2677" t="s">
        <v>29</v>
      </c>
      <c r="B179" s="2705">
        <v>953</v>
      </c>
      <c r="C179" s="2706"/>
      <c r="D179" s="2707">
        <v>1053</v>
      </c>
      <c r="E179" s="2706"/>
      <c r="F179" s="2707">
        <v>1102</v>
      </c>
      <c r="G179" s="2706"/>
      <c r="H179" s="2707">
        <v>1137</v>
      </c>
      <c r="I179" s="2706"/>
      <c r="J179" s="2707">
        <v>1205</v>
      </c>
      <c r="K179" s="2706"/>
      <c r="L179" s="2707">
        <v>1158</v>
      </c>
      <c r="M179" s="2620"/>
      <c r="N179" s="962">
        <f>AVERAGE(B179:F179)</f>
        <v>1036</v>
      </c>
      <c r="O179" s="963"/>
      <c r="P179" s="962">
        <f>AVERAGE(H179:L179)</f>
        <v>1166.6666666666667</v>
      </c>
      <c r="Q179" s="963"/>
      <c r="R179" s="964">
        <f>P179-N179</f>
        <v>130.66666666666674</v>
      </c>
      <c r="S179" s="2749"/>
      <c r="T179" s="3546">
        <f>D179/'Student Enrollment BRS VIII '!B637</f>
        <v>0.1422261842051947</v>
      </c>
      <c r="U179" s="3547"/>
      <c r="V179" s="3547">
        <f>F179/'Student Enrollment BRS VIII '!D637</f>
        <v>0.14914465136422694</v>
      </c>
      <c r="W179" s="3547"/>
      <c r="X179" s="3547">
        <f>H179/'Student Enrollment BRS VIII '!F637</f>
        <v>0.14942438101245861</v>
      </c>
      <c r="Y179" s="3547"/>
      <c r="Z179" s="3547">
        <f>J179/'Student Enrollment BRS VIII '!H637</f>
        <v>0.1514656342701996</v>
      </c>
      <c r="AA179" s="3547"/>
      <c r="AB179" s="3548">
        <f>L179/'Student Enrollment BRS VIII '!J637</f>
        <v>0.14566770655127301</v>
      </c>
    </row>
    <row r="180" spans="1:28" s="2670" customFormat="1">
      <c r="A180" s="2677"/>
      <c r="B180" s="2705"/>
      <c r="C180" s="2706"/>
      <c r="D180" s="2707"/>
      <c r="E180" s="2706"/>
      <c r="F180" s="2707"/>
      <c r="G180" s="2706"/>
      <c r="H180" s="2707"/>
      <c r="I180" s="2706"/>
      <c r="J180" s="2707"/>
      <c r="K180" s="2706"/>
      <c r="L180" s="2707"/>
      <c r="M180" s="2620"/>
      <c r="N180" s="962"/>
      <c r="O180" s="965"/>
      <c r="P180" s="962"/>
      <c r="Q180" s="965"/>
      <c r="R180" s="964"/>
      <c r="S180" s="2749"/>
      <c r="T180" s="3549"/>
      <c r="U180" s="3550"/>
      <c r="V180" s="3550"/>
      <c r="W180" s="3551"/>
      <c r="X180" s="3550"/>
      <c r="Y180" s="3550"/>
      <c r="Z180" s="3550"/>
      <c r="AA180" s="3550"/>
      <c r="AB180" s="3552"/>
    </row>
    <row r="181" spans="1:28" s="2670" customFormat="1">
      <c r="A181" s="2677" t="s">
        <v>30</v>
      </c>
      <c r="B181" s="2705">
        <v>169</v>
      </c>
      <c r="C181" s="2706"/>
      <c r="D181" s="2707">
        <v>150</v>
      </c>
      <c r="E181" s="2706"/>
      <c r="F181" s="2707">
        <v>191</v>
      </c>
      <c r="G181" s="2706"/>
      <c r="H181" s="2707">
        <v>166</v>
      </c>
      <c r="I181" s="2706"/>
      <c r="J181" s="2707">
        <v>174</v>
      </c>
      <c r="K181" s="2706"/>
      <c r="L181" s="2707">
        <v>211</v>
      </c>
      <c r="M181" s="2620"/>
      <c r="N181" s="962">
        <f>AVERAGE(B181:F181)</f>
        <v>170</v>
      </c>
      <c r="O181" s="963"/>
      <c r="P181" s="962">
        <f>AVERAGE(H181:L181)</f>
        <v>183.66666666666666</v>
      </c>
      <c r="Q181" s="963"/>
      <c r="R181" s="964">
        <f>P181-N181</f>
        <v>13.666666666666657</v>
      </c>
      <c r="S181" s="2749"/>
      <c r="T181" s="3546">
        <f>(D181+D183)/('Student Enrollment BRS VIII '!B641+'Student Enrollment BRS VIII '!B645)</f>
        <v>0.39861812383736378</v>
      </c>
      <c r="U181" s="3547"/>
      <c r="V181" s="3547">
        <f>(F181+F183)/('Student Enrollment BRS VIII '!D641+'Student Enrollment BRS VIII '!D645)</f>
        <v>0.51413189771197843</v>
      </c>
      <c r="W181" s="3547"/>
      <c r="X181" s="3547">
        <f>(H181+H183)/('Student Enrollment BRS VIII '!F641+'Student Enrollment BRS VIII '!F645)</f>
        <v>0.42651593011305244</v>
      </c>
      <c r="Y181" s="3547"/>
      <c r="Z181" s="3547">
        <f>(J181+J183)/('Student Enrollment BRS VIII '!H641+'Student Enrollment BRS VIII '!H645)</f>
        <v>0.42825498400196899</v>
      </c>
      <c r="AA181" s="3547"/>
      <c r="AB181" s="3548">
        <f>(L181+L183)/('Student Enrollment BRS VIII '!J641+'Student Enrollment BRS VIII '!J645)</f>
        <v>0.55403044671824309</v>
      </c>
    </row>
    <row r="182" spans="1:28" s="2670" customFormat="1">
      <c r="A182" s="2677"/>
      <c r="B182" s="2705"/>
      <c r="C182" s="2706"/>
      <c r="D182" s="2707"/>
      <c r="E182" s="2706"/>
      <c r="F182" s="2707"/>
      <c r="G182" s="2706"/>
      <c r="H182" s="2707"/>
      <c r="I182" s="2706"/>
      <c r="J182" s="2707"/>
      <c r="K182" s="2706"/>
      <c r="L182" s="2707"/>
      <c r="M182" s="2620"/>
      <c r="N182" s="962"/>
      <c r="O182" s="965"/>
      <c r="P182" s="962"/>
      <c r="Q182" s="965"/>
      <c r="R182" s="964"/>
      <c r="S182" s="2749"/>
      <c r="T182" s="3549"/>
      <c r="U182" s="3550"/>
      <c r="V182" s="3550"/>
      <c r="W182" s="3551"/>
      <c r="X182" s="3550"/>
      <c r="Y182" s="3550"/>
      <c r="Z182" s="3550"/>
      <c r="AA182" s="3550"/>
      <c r="AB182" s="3552"/>
    </row>
    <row r="183" spans="1:28" s="2670" customFormat="1" ht="13.8" thickBot="1">
      <c r="A183" s="2678" t="s">
        <v>31</v>
      </c>
      <c r="B183" s="2709">
        <v>0</v>
      </c>
      <c r="C183" s="2710"/>
      <c r="D183" s="2711">
        <v>0</v>
      </c>
      <c r="E183" s="2710"/>
      <c r="F183" s="2711">
        <v>0</v>
      </c>
      <c r="G183" s="2710"/>
      <c r="H183" s="2711">
        <v>0</v>
      </c>
      <c r="I183" s="2710"/>
      <c r="J183" s="2711">
        <v>0</v>
      </c>
      <c r="K183" s="2710"/>
      <c r="L183" s="2711">
        <v>11</v>
      </c>
      <c r="M183" s="2622"/>
      <c r="N183" s="966">
        <f>AVERAGE(B183:F183)</f>
        <v>0</v>
      </c>
      <c r="O183" s="967"/>
      <c r="P183" s="966">
        <f>AVERAGE(H183:L183)</f>
        <v>3.6666666666666665</v>
      </c>
      <c r="Q183" s="967"/>
      <c r="R183" s="968">
        <f>P183-N183</f>
        <v>3.6666666666666665</v>
      </c>
      <c r="S183" s="2749"/>
      <c r="T183" s="3561"/>
      <c r="U183" s="3557"/>
      <c r="V183" s="3558"/>
      <c r="W183" s="3559"/>
      <c r="X183" s="3558"/>
      <c r="Y183" s="3557"/>
      <c r="Z183" s="3558"/>
      <c r="AA183" s="3557"/>
      <c r="AB183" s="3560"/>
    </row>
    <row r="184" spans="1:28" s="2670" customFormat="1" ht="14.4" thickTop="1" thickBot="1">
      <c r="A184" s="2679" t="s">
        <v>32</v>
      </c>
      <c r="B184" s="2613">
        <f>SUM(B175:B183)</f>
        <v>1122</v>
      </c>
      <c r="C184" s="2615"/>
      <c r="D184" s="2614">
        <f>SUM(D175:D183)</f>
        <v>1203</v>
      </c>
      <c r="E184" s="2615"/>
      <c r="F184" s="2614">
        <f>SUM(F175:F183)</f>
        <v>1293</v>
      </c>
      <c r="G184" s="2615"/>
      <c r="H184" s="2614">
        <f>SUM(H175:H183)</f>
        <v>1303</v>
      </c>
      <c r="I184" s="2615"/>
      <c r="J184" s="2614">
        <f>SUM(J175:J183)</f>
        <v>1379</v>
      </c>
      <c r="K184" s="2615"/>
      <c r="L184" s="2614">
        <f>SUM(L175:L183)</f>
        <v>1380</v>
      </c>
      <c r="M184" s="2615"/>
      <c r="N184" s="969">
        <f>AVERAGE(B184:F184)</f>
        <v>1206</v>
      </c>
      <c r="O184" s="970"/>
      <c r="P184" s="969">
        <f>AVERAGE(H184:L184)</f>
        <v>1354</v>
      </c>
      <c r="Q184" s="970"/>
      <c r="R184" s="971">
        <f>P184-N184</f>
        <v>148</v>
      </c>
      <c r="S184" s="2749"/>
      <c r="T184" s="3553">
        <f>D184/('Student Enrollment BRS VIII '!B637+'Student Enrollment BRS VIII '!B641+'Student Enrollment BRS VIII '!B645)</f>
        <v>0.15462724935732647</v>
      </c>
      <c r="U184" s="3554"/>
      <c r="V184" s="3554">
        <f>F184/('Student Enrollment BRS VIII '!D637+'Student Enrollment BRS VIII '!D641+'Student Enrollment BRS VIII '!D645)</f>
        <v>0.16661726995090395</v>
      </c>
      <c r="W184" s="3554"/>
      <c r="X184" s="3554">
        <f>H184/('Student Enrollment BRS VIII '!F637+'Student Enrollment BRS VIII '!F641+'Student Enrollment BRS VIII '!F645)</f>
        <v>0.16290758151630327</v>
      </c>
      <c r="Y184" s="3554"/>
      <c r="Z184" s="3554">
        <f>J184/('Student Enrollment BRS VIII '!H637+'Student Enrollment BRS VIII '!H641+'Student Enrollment BRS VIII '!H645)</f>
        <v>0.1649146725026609</v>
      </c>
      <c r="AA184" s="3554"/>
      <c r="AB184" s="3555">
        <f>L184/('Student Enrollment BRS VIII '!J637+'Student Enrollment BRS VIII '!J641+'Student Enrollment BRS VIII '!J645)</f>
        <v>0.16526352346622275</v>
      </c>
    </row>
    <row r="185" spans="1:28" s="2885" customFormat="1" ht="13.8" thickBot="1">
      <c r="A185" s="2888"/>
      <c r="F185" s="2886"/>
      <c r="N185" s="957"/>
      <c r="O185" s="957"/>
      <c r="P185" s="957"/>
      <c r="Q185" s="957"/>
      <c r="R185" s="957"/>
      <c r="S185" s="2749"/>
      <c r="T185" s="3244"/>
      <c r="W185" s="3260"/>
    </row>
    <row r="186" spans="1:28" s="2887" customFormat="1" ht="27" thickBot="1">
      <c r="A186" s="2906" t="s">
        <v>244</v>
      </c>
      <c r="B186" s="2894" t="s">
        <v>2</v>
      </c>
      <c r="C186" s="2895"/>
      <c r="D186" s="2896" t="s">
        <v>3</v>
      </c>
      <c r="E186" s="2895"/>
      <c r="F186" s="2897" t="s">
        <v>4</v>
      </c>
      <c r="G186" s="2895"/>
      <c r="H186" s="2893" t="s">
        <v>5</v>
      </c>
      <c r="I186" s="2895"/>
      <c r="J186" s="2893" t="s">
        <v>6</v>
      </c>
      <c r="K186" s="2895"/>
      <c r="L186" s="2893" t="s">
        <v>7</v>
      </c>
      <c r="M186" s="2895"/>
      <c r="N186" s="959" t="s">
        <v>33</v>
      </c>
      <c r="O186" s="960"/>
      <c r="P186" s="959" t="s">
        <v>34</v>
      </c>
      <c r="Q186" s="960"/>
      <c r="R186" s="961" t="s">
        <v>35</v>
      </c>
      <c r="S186" s="3239"/>
    </row>
    <row r="187" spans="1:28" s="2885" customFormat="1">
      <c r="A187" s="2890" t="s">
        <v>28</v>
      </c>
      <c r="B187" s="2945">
        <v>2067</v>
      </c>
      <c r="C187" s="2946"/>
      <c r="D187" s="2947">
        <v>2195</v>
      </c>
      <c r="E187" s="2946"/>
      <c r="F187" s="2947">
        <v>2143</v>
      </c>
      <c r="G187" s="2946"/>
      <c r="H187" s="2947">
        <v>1928</v>
      </c>
      <c r="I187" s="2946"/>
      <c r="J187" s="2947">
        <v>2146</v>
      </c>
      <c r="K187" s="2946"/>
      <c r="L187" s="2947">
        <v>2639</v>
      </c>
      <c r="M187" s="2901"/>
      <c r="N187" s="962">
        <f>AVERAGE(B187:F187)</f>
        <v>2135</v>
      </c>
      <c r="O187" s="963"/>
      <c r="P187" s="962">
        <f>AVERAGE(H187:L187)</f>
        <v>2237.6666666666665</v>
      </c>
      <c r="Q187" s="963"/>
      <c r="R187" s="964">
        <f>P187-N187</f>
        <v>102.66666666666652</v>
      </c>
      <c r="S187" s="2749"/>
    </row>
    <row r="188" spans="1:28" s="2885" customFormat="1" ht="13.8" thickBot="1">
      <c r="A188" s="2890"/>
      <c r="B188" s="2939"/>
      <c r="C188" s="2940"/>
      <c r="D188" s="2941"/>
      <c r="E188" s="2940"/>
      <c r="F188" s="2941"/>
      <c r="G188" s="2940"/>
      <c r="H188" s="2941"/>
      <c r="I188" s="2940"/>
      <c r="J188" s="2941"/>
      <c r="K188" s="2940"/>
      <c r="L188" s="2941"/>
      <c r="M188" s="2901"/>
      <c r="N188" s="962"/>
      <c r="O188" s="963"/>
      <c r="P188" s="962"/>
      <c r="Q188" s="963"/>
      <c r="R188" s="964"/>
      <c r="S188" s="2749"/>
    </row>
    <row r="189" spans="1:28" s="2885" customFormat="1">
      <c r="A189" s="2890" t="s">
        <v>65</v>
      </c>
      <c r="B189" s="2942">
        <v>4765</v>
      </c>
      <c r="C189" s="2943"/>
      <c r="D189" s="2944">
        <v>4902</v>
      </c>
      <c r="E189" s="2943"/>
      <c r="F189" s="2944">
        <v>5209</v>
      </c>
      <c r="G189" s="2943"/>
      <c r="H189" s="2944">
        <v>5397</v>
      </c>
      <c r="I189" s="2943"/>
      <c r="J189" s="2944">
        <v>6461</v>
      </c>
      <c r="K189" s="2943"/>
      <c r="L189" s="2944">
        <v>7595</v>
      </c>
      <c r="M189" s="2903"/>
      <c r="N189" s="962">
        <f>AVERAGE(B189:F189)</f>
        <v>4958.666666666667</v>
      </c>
      <c r="O189" s="963"/>
      <c r="P189" s="962">
        <f>AVERAGE(H189:L189)</f>
        <v>6484.333333333333</v>
      </c>
      <c r="Q189" s="963"/>
      <c r="R189" s="964">
        <f>P189-N189</f>
        <v>1525.6666666666661</v>
      </c>
      <c r="S189" s="2749"/>
      <c r="T189" s="4483" t="s">
        <v>365</v>
      </c>
      <c r="U189" s="4484"/>
      <c r="V189" s="4484"/>
      <c r="W189" s="4484"/>
      <c r="X189" s="4484"/>
      <c r="Y189" s="4484"/>
      <c r="Z189" s="4484"/>
      <c r="AA189" s="4484"/>
      <c r="AB189" s="4485"/>
    </row>
    <row r="190" spans="1:28" s="2885" customFormat="1" ht="13.8" thickBot="1">
      <c r="A190" s="2890"/>
      <c r="B190" s="2902"/>
      <c r="C190" s="2903"/>
      <c r="D190" s="2904"/>
      <c r="E190" s="2903"/>
      <c r="F190" s="2904"/>
      <c r="G190" s="2903"/>
      <c r="H190" s="2904"/>
      <c r="I190" s="2903"/>
      <c r="J190" s="2904"/>
      <c r="K190" s="2903"/>
      <c r="L190" s="2904"/>
      <c r="M190" s="2903"/>
      <c r="N190" s="962"/>
      <c r="O190" s="965"/>
      <c r="P190" s="962"/>
      <c r="Q190" s="965"/>
      <c r="R190" s="964"/>
      <c r="S190" s="2749"/>
      <c r="T190" s="3052">
        <v>2007</v>
      </c>
      <c r="U190" s="3032"/>
      <c r="V190" s="3032">
        <v>2008</v>
      </c>
      <c r="W190" s="3032"/>
      <c r="X190" s="3032">
        <v>2009</v>
      </c>
      <c r="Y190" s="3032"/>
      <c r="Z190" s="3032">
        <v>2010</v>
      </c>
      <c r="AA190" s="3032"/>
      <c r="AB190" s="3545">
        <v>2011</v>
      </c>
    </row>
    <row r="191" spans="1:28" s="2885" customFormat="1">
      <c r="A191" s="2890" t="s">
        <v>29</v>
      </c>
      <c r="B191" s="2771"/>
      <c r="C191" s="2772"/>
      <c r="D191" s="2773"/>
      <c r="E191" s="2772"/>
      <c r="F191" s="2773"/>
      <c r="G191" s="2772"/>
      <c r="H191" s="2773"/>
      <c r="I191" s="2772"/>
      <c r="J191" s="2773"/>
      <c r="K191" s="2772"/>
      <c r="L191" s="2773"/>
      <c r="M191" s="2903"/>
      <c r="N191" s="962"/>
      <c r="O191" s="963"/>
      <c r="P191" s="962"/>
      <c r="Q191" s="963"/>
      <c r="R191" s="964"/>
      <c r="S191" s="2749"/>
      <c r="T191" s="3546"/>
      <c r="U191" s="3547"/>
      <c r="V191" s="3547"/>
      <c r="W191" s="3547"/>
      <c r="X191" s="3547"/>
      <c r="Y191" s="3547"/>
      <c r="Z191" s="3547"/>
      <c r="AA191" s="3547"/>
      <c r="AB191" s="3548"/>
    </row>
    <row r="192" spans="1:28" s="2885" customFormat="1">
      <c r="A192" s="2890"/>
      <c r="B192" s="2771"/>
      <c r="C192" s="2772"/>
      <c r="D192" s="2773"/>
      <c r="E192" s="2772"/>
      <c r="F192" s="2773"/>
      <c r="G192" s="2772"/>
      <c r="H192" s="2773"/>
      <c r="I192" s="2772"/>
      <c r="J192" s="2773"/>
      <c r="K192" s="2772"/>
      <c r="L192" s="2773"/>
      <c r="M192" s="2903"/>
      <c r="N192" s="962"/>
      <c r="O192" s="965"/>
      <c r="P192" s="962"/>
      <c r="Q192" s="965"/>
      <c r="R192" s="964"/>
      <c r="S192" s="2749"/>
      <c r="T192" s="3549"/>
      <c r="U192" s="3550"/>
      <c r="V192" s="3550"/>
      <c r="W192" s="3551"/>
      <c r="X192" s="3550"/>
      <c r="Y192" s="3550"/>
      <c r="Z192" s="3550"/>
      <c r="AA192" s="3550"/>
      <c r="AB192" s="3552"/>
    </row>
    <row r="193" spans="1:28" s="2885" customFormat="1">
      <c r="A193" s="2890" t="s">
        <v>30</v>
      </c>
      <c r="B193" s="2771"/>
      <c r="C193" s="2772"/>
      <c r="D193" s="2773"/>
      <c r="E193" s="2772"/>
      <c r="F193" s="2773"/>
      <c r="G193" s="2772"/>
      <c r="H193" s="2773"/>
      <c r="I193" s="2772"/>
      <c r="J193" s="2773"/>
      <c r="K193" s="2772"/>
      <c r="L193" s="2773"/>
      <c r="M193" s="2903"/>
      <c r="N193" s="962"/>
      <c r="O193" s="963"/>
      <c r="P193" s="962"/>
      <c r="Q193" s="963"/>
      <c r="R193" s="964"/>
      <c r="S193" s="2749"/>
      <c r="T193" s="3546"/>
      <c r="U193" s="3547"/>
      <c r="V193" s="3547"/>
      <c r="W193" s="3547"/>
      <c r="X193" s="3547"/>
      <c r="Y193" s="3547"/>
      <c r="Z193" s="3547"/>
      <c r="AA193" s="3547"/>
      <c r="AB193" s="3548"/>
    </row>
    <row r="194" spans="1:28" s="2885" customFormat="1">
      <c r="A194" s="2890"/>
      <c r="B194" s="2771"/>
      <c r="C194" s="2772"/>
      <c r="D194" s="2773"/>
      <c r="E194" s="2772"/>
      <c r="F194" s="2773"/>
      <c r="G194" s="2772"/>
      <c r="H194" s="2773"/>
      <c r="I194" s="2772"/>
      <c r="J194" s="2773"/>
      <c r="K194" s="2772"/>
      <c r="L194" s="2773"/>
      <c r="M194" s="2903"/>
      <c r="N194" s="962"/>
      <c r="O194" s="965"/>
      <c r="P194" s="962"/>
      <c r="Q194" s="965"/>
      <c r="R194" s="964"/>
      <c r="S194" s="2749"/>
      <c r="T194" s="3549"/>
      <c r="U194" s="3550"/>
      <c r="V194" s="3550"/>
      <c r="W194" s="3551"/>
      <c r="X194" s="3550"/>
      <c r="Y194" s="3550"/>
      <c r="Z194" s="3550"/>
      <c r="AA194" s="3550"/>
      <c r="AB194" s="3552"/>
    </row>
    <row r="195" spans="1:28" s="2885" customFormat="1" ht="13.8" thickBot="1">
      <c r="A195" s="2891" t="s">
        <v>31</v>
      </c>
      <c r="B195" s="2775"/>
      <c r="C195" s="2776"/>
      <c r="D195" s="2777"/>
      <c r="E195" s="2776"/>
      <c r="F195" s="2777"/>
      <c r="G195" s="2776"/>
      <c r="H195" s="2777"/>
      <c r="I195" s="2776"/>
      <c r="J195" s="2777"/>
      <c r="K195" s="2776"/>
      <c r="L195" s="2777"/>
      <c r="M195" s="2905"/>
      <c r="N195" s="966"/>
      <c r="O195" s="967"/>
      <c r="P195" s="966"/>
      <c r="Q195" s="967"/>
      <c r="R195" s="968"/>
      <c r="S195" s="2749"/>
      <c r="T195" s="3561"/>
      <c r="U195" s="3557"/>
      <c r="V195" s="3558"/>
      <c r="W195" s="3559"/>
      <c r="X195" s="3558"/>
      <c r="Y195" s="3557"/>
      <c r="Z195" s="3558"/>
      <c r="AA195" s="3557"/>
      <c r="AB195" s="3560"/>
    </row>
    <row r="196" spans="1:28" s="2885" customFormat="1" ht="14.4" thickTop="1" thickBot="1">
      <c r="A196" s="2889" t="s">
        <v>32</v>
      </c>
      <c r="B196" s="2898">
        <f>SUM(B187:B195)</f>
        <v>6832</v>
      </c>
      <c r="C196" s="2900"/>
      <c r="D196" s="2899">
        <f>SUM(D187:D195)</f>
        <v>7097</v>
      </c>
      <c r="E196" s="2900"/>
      <c r="F196" s="2899">
        <f>SUM(F187:F195)</f>
        <v>7352</v>
      </c>
      <c r="G196" s="2900"/>
      <c r="H196" s="2899">
        <f>SUM(H187:H195)</f>
        <v>7325</v>
      </c>
      <c r="I196" s="2900"/>
      <c r="J196" s="2899">
        <f>SUM(J187:J195)</f>
        <v>8607</v>
      </c>
      <c r="K196" s="2900"/>
      <c r="L196" s="2899">
        <f>SUM(L187:L195)</f>
        <v>10234</v>
      </c>
      <c r="M196" s="2900"/>
      <c r="N196" s="969">
        <f>AVERAGE(B196:F196)</f>
        <v>7093.666666666667</v>
      </c>
      <c r="O196" s="970"/>
      <c r="P196" s="969">
        <f>AVERAGE(H196:L196)</f>
        <v>8722</v>
      </c>
      <c r="Q196" s="970"/>
      <c r="R196" s="971">
        <f>P196-N196</f>
        <v>1628.333333333333</v>
      </c>
      <c r="S196" s="2749"/>
      <c r="T196" s="3553">
        <f>D196/'Student Enrollment BRS VIII '!B673</f>
        <v>0.15710816488719959</v>
      </c>
      <c r="U196" s="3554"/>
      <c r="V196" s="3554">
        <f>F196/'Student Enrollment BRS VIII '!D673</f>
        <v>0.14976726183807129</v>
      </c>
      <c r="W196" s="3554"/>
      <c r="X196" s="3554">
        <f>H196/'Student Enrollment BRS VIII '!F673</f>
        <v>0.13652977653849951</v>
      </c>
      <c r="Y196" s="3554"/>
      <c r="Z196" s="3554">
        <f>J196/'Student Enrollment BRS VIII '!H673</f>
        <v>0.1210964100197536</v>
      </c>
      <c r="AA196" s="3554"/>
      <c r="AB196" s="3555">
        <f>L196/'Student Enrollment BRS VIII '!J673</f>
        <v>0.13649846882702549</v>
      </c>
    </row>
    <row r="197" spans="1:28" s="3094" customFormat="1" ht="13.8" thickBot="1">
      <c r="A197" s="3128"/>
      <c r="F197" s="3096"/>
      <c r="N197" s="957"/>
      <c r="O197" s="957"/>
      <c r="P197" s="957"/>
      <c r="Q197" s="957"/>
      <c r="R197" s="957"/>
      <c r="S197" s="2749"/>
      <c r="T197" s="3244"/>
      <c r="W197" s="3260"/>
    </row>
    <row r="198" spans="1:28" s="3093" customFormat="1" ht="27" thickBot="1">
      <c r="A198" s="3076" t="s">
        <v>256</v>
      </c>
      <c r="B198" s="3129" t="s">
        <v>2</v>
      </c>
      <c r="C198" s="3130"/>
      <c r="D198" s="3131" t="s">
        <v>3</v>
      </c>
      <c r="E198" s="3130"/>
      <c r="F198" s="3132" t="s">
        <v>4</v>
      </c>
      <c r="G198" s="3130"/>
      <c r="H198" s="3133" t="s">
        <v>5</v>
      </c>
      <c r="I198" s="3130"/>
      <c r="J198" s="3133" t="s">
        <v>6</v>
      </c>
      <c r="K198" s="3130"/>
      <c r="L198" s="3133" t="s">
        <v>7</v>
      </c>
      <c r="M198" s="3130"/>
      <c r="N198" s="959" t="s">
        <v>33</v>
      </c>
      <c r="O198" s="960"/>
      <c r="P198" s="959" t="s">
        <v>34</v>
      </c>
      <c r="Q198" s="960"/>
      <c r="R198" s="961" t="s">
        <v>35</v>
      </c>
      <c r="S198" s="3239"/>
      <c r="T198" s="3245"/>
      <c r="W198" s="3521"/>
    </row>
    <row r="199" spans="1:28" s="3094" customFormat="1">
      <c r="A199" s="3090" t="s">
        <v>28</v>
      </c>
      <c r="B199" s="3092">
        <v>74</v>
      </c>
      <c r="C199" s="3091"/>
      <c r="D199" s="3022">
        <v>63</v>
      </c>
      <c r="E199" s="3091"/>
      <c r="F199" s="3022">
        <v>73</v>
      </c>
      <c r="G199" s="3091"/>
      <c r="H199" s="3022">
        <v>44</v>
      </c>
      <c r="I199" s="3091"/>
      <c r="J199" s="3022">
        <v>53</v>
      </c>
      <c r="K199" s="3091"/>
      <c r="L199" s="3022">
        <v>44</v>
      </c>
      <c r="M199" s="3065"/>
      <c r="N199" s="962">
        <f>AVERAGE(B199:F199)</f>
        <v>70</v>
      </c>
      <c r="O199" s="963"/>
      <c r="P199" s="962">
        <f>AVERAGE(H199:L199)</f>
        <v>47</v>
      </c>
      <c r="Q199" s="963"/>
      <c r="R199" s="964">
        <f>P199-N199</f>
        <v>-23</v>
      </c>
      <c r="S199" s="2749"/>
      <c r="T199" s="3244"/>
      <c r="W199" s="3260"/>
    </row>
    <row r="200" spans="1:28" s="3094" customFormat="1" ht="13.8" thickBot="1">
      <c r="A200" s="3099"/>
      <c r="B200" s="3092"/>
      <c r="C200" s="3091"/>
      <c r="D200" s="3022"/>
      <c r="E200" s="3091"/>
      <c r="F200" s="3022"/>
      <c r="G200" s="3091"/>
      <c r="H200" s="3022"/>
      <c r="I200" s="3091"/>
      <c r="J200" s="3022"/>
      <c r="K200" s="3091"/>
      <c r="L200" s="3022"/>
      <c r="M200" s="3065"/>
      <c r="N200" s="962"/>
      <c r="O200" s="963"/>
      <c r="P200" s="962"/>
      <c r="Q200" s="963"/>
      <c r="R200" s="964"/>
      <c r="S200" s="2749"/>
      <c r="T200" s="3244"/>
      <c r="W200" s="3260"/>
    </row>
    <row r="201" spans="1:28" s="3094" customFormat="1">
      <c r="A201" s="3090" t="s">
        <v>65</v>
      </c>
      <c r="B201" s="3092">
        <v>932</v>
      </c>
      <c r="C201" s="3091"/>
      <c r="D201" s="3022">
        <v>809</v>
      </c>
      <c r="E201" s="3091"/>
      <c r="F201" s="3022">
        <v>844</v>
      </c>
      <c r="G201" s="3091"/>
      <c r="H201" s="3022">
        <v>991</v>
      </c>
      <c r="I201" s="3091"/>
      <c r="J201" s="3022">
        <v>956</v>
      </c>
      <c r="K201" s="3091"/>
      <c r="L201" s="3022">
        <v>1023</v>
      </c>
      <c r="M201" s="3068"/>
      <c r="N201" s="962">
        <f>AVERAGE(B201:F201)</f>
        <v>861.66666666666663</v>
      </c>
      <c r="O201" s="963"/>
      <c r="P201" s="962">
        <f>AVERAGE(H201:L201)</f>
        <v>990</v>
      </c>
      <c r="Q201" s="963"/>
      <c r="R201" s="964">
        <f>P201-N201</f>
        <v>128.33333333333337</v>
      </c>
      <c r="S201" s="2749"/>
      <c r="T201" s="4483" t="s">
        <v>365</v>
      </c>
      <c r="U201" s="4484"/>
      <c r="V201" s="4484"/>
      <c r="W201" s="4484"/>
      <c r="X201" s="4484"/>
      <c r="Y201" s="4484"/>
      <c r="Z201" s="4484"/>
      <c r="AA201" s="4484"/>
      <c r="AB201" s="4485"/>
    </row>
    <row r="202" spans="1:28" s="3094" customFormat="1" ht="13.8" thickBot="1">
      <c r="A202" s="3099"/>
      <c r="B202" s="3092"/>
      <c r="C202" s="3091"/>
      <c r="D202" s="3022"/>
      <c r="E202" s="3091"/>
      <c r="F202" s="3022"/>
      <c r="G202" s="3091"/>
      <c r="H202" s="3022"/>
      <c r="I202" s="3091"/>
      <c r="J202" s="3022"/>
      <c r="K202" s="3091"/>
      <c r="L202" s="3022"/>
      <c r="M202" s="3068"/>
      <c r="N202" s="962"/>
      <c r="O202" s="965"/>
      <c r="P202" s="962"/>
      <c r="Q202" s="965"/>
      <c r="R202" s="964"/>
      <c r="S202" s="2749"/>
      <c r="T202" s="3052">
        <v>2007</v>
      </c>
      <c r="U202" s="3032"/>
      <c r="V202" s="3032">
        <v>2008</v>
      </c>
      <c r="W202" s="3032"/>
      <c r="X202" s="3032">
        <v>2009</v>
      </c>
      <c r="Y202" s="3032"/>
      <c r="Z202" s="3032">
        <v>2010</v>
      </c>
      <c r="AA202" s="3032"/>
      <c r="AB202" s="3545">
        <v>2011</v>
      </c>
    </row>
    <row r="203" spans="1:28" s="3094" customFormat="1">
      <c r="A203" s="3090" t="s">
        <v>29</v>
      </c>
      <c r="B203" s="3092">
        <v>0</v>
      </c>
      <c r="C203" s="3091"/>
      <c r="D203" s="3022">
        <v>27</v>
      </c>
      <c r="E203" s="3091"/>
      <c r="F203" s="3022">
        <v>21</v>
      </c>
      <c r="G203" s="3091"/>
      <c r="H203" s="3022">
        <v>63</v>
      </c>
      <c r="I203" s="3091"/>
      <c r="J203" s="3022">
        <v>69</v>
      </c>
      <c r="K203" s="3091"/>
      <c r="L203" s="3022">
        <v>88</v>
      </c>
      <c r="M203" s="3068"/>
      <c r="N203" s="962">
        <f>AVERAGE(B203:F203)</f>
        <v>16</v>
      </c>
      <c r="O203" s="963"/>
      <c r="P203" s="962">
        <f>AVERAGE(H203:L203)</f>
        <v>73.333333333333329</v>
      </c>
      <c r="Q203" s="963"/>
      <c r="R203" s="964">
        <f>P203-N203</f>
        <v>57.333333333333329</v>
      </c>
      <c r="S203" s="2749"/>
      <c r="T203" s="3546"/>
      <c r="U203" s="3547"/>
      <c r="V203" s="3547"/>
      <c r="W203" s="3547"/>
      <c r="X203" s="3547"/>
      <c r="Y203" s="3547"/>
      <c r="Z203" s="3547"/>
      <c r="AA203" s="3547"/>
      <c r="AB203" s="3548"/>
    </row>
    <row r="204" spans="1:28" s="3094" customFormat="1">
      <c r="A204" s="3099"/>
      <c r="B204" s="2771"/>
      <c r="C204" s="2772"/>
      <c r="D204" s="2773"/>
      <c r="E204" s="2772"/>
      <c r="F204" s="2773"/>
      <c r="G204" s="2772"/>
      <c r="H204" s="2773"/>
      <c r="I204" s="2772"/>
      <c r="J204" s="2773"/>
      <c r="K204" s="2772"/>
      <c r="L204" s="2773"/>
      <c r="M204" s="3068"/>
      <c r="N204" s="962"/>
      <c r="O204" s="965"/>
      <c r="P204" s="962"/>
      <c r="Q204" s="965"/>
      <c r="R204" s="964"/>
      <c r="S204" s="2749"/>
      <c r="T204" s="3549"/>
      <c r="U204" s="3550"/>
      <c r="V204" s="3550"/>
      <c r="W204" s="3551"/>
      <c r="X204" s="3550"/>
      <c r="Y204" s="3550"/>
      <c r="Z204" s="3550"/>
      <c r="AA204" s="3550"/>
      <c r="AB204" s="3552"/>
    </row>
    <row r="205" spans="1:28" s="3094" customFormat="1">
      <c r="A205" s="3099" t="s">
        <v>30</v>
      </c>
      <c r="B205" s="2771"/>
      <c r="C205" s="2772"/>
      <c r="D205" s="2773"/>
      <c r="E205" s="2772"/>
      <c r="F205" s="2773"/>
      <c r="G205" s="2772"/>
      <c r="H205" s="2773"/>
      <c r="I205" s="2772"/>
      <c r="J205" s="2773"/>
      <c r="K205" s="2772"/>
      <c r="L205" s="2773"/>
      <c r="M205" s="3068"/>
      <c r="N205" s="962"/>
      <c r="O205" s="963"/>
      <c r="P205" s="962"/>
      <c r="Q205" s="963"/>
      <c r="R205" s="964"/>
      <c r="S205" s="2749"/>
      <c r="T205" s="3546"/>
      <c r="U205" s="3547"/>
      <c r="V205" s="3547"/>
      <c r="W205" s="3547"/>
      <c r="X205" s="3547"/>
      <c r="Y205" s="3547"/>
      <c r="Z205" s="3547"/>
      <c r="AA205" s="3547"/>
      <c r="AB205" s="3548"/>
    </row>
    <row r="206" spans="1:28" s="3094" customFormat="1">
      <c r="A206" s="3099"/>
      <c r="B206" s="2771"/>
      <c r="C206" s="2772"/>
      <c r="D206" s="2773"/>
      <c r="E206" s="2772"/>
      <c r="F206" s="2773"/>
      <c r="G206" s="2772"/>
      <c r="H206" s="2773"/>
      <c r="I206" s="2772"/>
      <c r="J206" s="2773"/>
      <c r="K206" s="2772"/>
      <c r="L206" s="2773"/>
      <c r="M206" s="3068"/>
      <c r="N206" s="962"/>
      <c r="O206" s="965"/>
      <c r="P206" s="962"/>
      <c r="Q206" s="965"/>
      <c r="R206" s="964"/>
      <c r="S206" s="2749"/>
      <c r="T206" s="3549"/>
      <c r="U206" s="3550"/>
      <c r="V206" s="3550"/>
      <c r="W206" s="3551"/>
      <c r="X206" s="3550"/>
      <c r="Y206" s="3550"/>
      <c r="Z206" s="3550"/>
      <c r="AA206" s="3550"/>
      <c r="AB206" s="3552"/>
    </row>
    <row r="207" spans="1:28" s="3094" customFormat="1" ht="13.8" thickBot="1">
      <c r="A207" s="3106" t="s">
        <v>31</v>
      </c>
      <c r="B207" s="2775"/>
      <c r="C207" s="2776"/>
      <c r="D207" s="2777"/>
      <c r="E207" s="2776"/>
      <c r="F207" s="2777"/>
      <c r="G207" s="2776"/>
      <c r="H207" s="2777"/>
      <c r="I207" s="2776"/>
      <c r="J207" s="2777"/>
      <c r="K207" s="2776"/>
      <c r="L207" s="2777"/>
      <c r="M207" s="3071"/>
      <c r="N207" s="966"/>
      <c r="O207" s="967"/>
      <c r="P207" s="966"/>
      <c r="Q207" s="967"/>
      <c r="R207" s="968"/>
      <c r="S207" s="2749"/>
      <c r="T207" s="3561"/>
      <c r="U207" s="3557"/>
      <c r="V207" s="3558"/>
      <c r="W207" s="3559"/>
      <c r="X207" s="3558"/>
      <c r="Y207" s="3557"/>
      <c r="Z207" s="3558"/>
      <c r="AA207" s="3557"/>
      <c r="AB207" s="3560"/>
    </row>
    <row r="208" spans="1:28" s="3094" customFormat="1" ht="14.4" thickTop="1" thickBot="1">
      <c r="A208" s="3134" t="s">
        <v>32</v>
      </c>
      <c r="B208" s="3061">
        <f>SUM(B199:B207)</f>
        <v>1006</v>
      </c>
      <c r="C208" s="3063"/>
      <c r="D208" s="3062">
        <f>SUM(D199:D207)</f>
        <v>899</v>
      </c>
      <c r="E208" s="3063"/>
      <c r="F208" s="3062">
        <f>SUM(F199:F207)</f>
        <v>938</v>
      </c>
      <c r="G208" s="3063"/>
      <c r="H208" s="3062">
        <f>SUM(H199:H207)</f>
        <v>1098</v>
      </c>
      <c r="I208" s="3063"/>
      <c r="J208" s="3062">
        <f>SUM(J199:J207)</f>
        <v>1078</v>
      </c>
      <c r="K208" s="3063"/>
      <c r="L208" s="3062">
        <f>SUM(L199:L207)</f>
        <v>1155</v>
      </c>
      <c r="M208" s="3063"/>
      <c r="N208" s="969">
        <f>AVERAGE(B208:F208)</f>
        <v>947.66666666666663</v>
      </c>
      <c r="O208" s="970"/>
      <c r="P208" s="969">
        <f>AVERAGE(H208:L208)</f>
        <v>1110.3333333333333</v>
      </c>
      <c r="Q208" s="970"/>
      <c r="R208" s="971">
        <f>P208-N208</f>
        <v>162.66666666666663</v>
      </c>
      <c r="S208" s="2749"/>
      <c r="T208" s="3553">
        <f>D208/'Student Enrollment BRS VIII '!B709</f>
        <v>0.14789589708156484</v>
      </c>
      <c r="U208" s="3554"/>
      <c r="V208" s="3554">
        <f>F208/'Student Enrollment BRS VIII '!D709</f>
        <v>0.14080067248082379</v>
      </c>
      <c r="W208" s="3554"/>
      <c r="X208" s="3554">
        <f>H208/'Student Enrollment BRS VIII '!F709</f>
        <v>0.14710610932475884</v>
      </c>
      <c r="Y208" s="3554"/>
      <c r="Z208" s="3554">
        <f>J208/'Student Enrollment BRS VIII '!H709</f>
        <v>0.1241577886553412</v>
      </c>
      <c r="AA208" s="3554"/>
      <c r="AB208" s="3555">
        <f>L208/'Student Enrollment BRS VIII '!J709</f>
        <v>0.12703615305931654</v>
      </c>
    </row>
    <row r="209" spans="1:12">
      <c r="A209" s="28" t="s">
        <v>12</v>
      </c>
      <c r="B209" s="5"/>
      <c r="C209" s="4"/>
      <c r="D209" s="4"/>
      <c r="E209" s="4"/>
      <c r="F209" s="3"/>
      <c r="G209" s="4"/>
      <c r="H209" s="4"/>
      <c r="I209" s="4"/>
      <c r="J209" s="4"/>
      <c r="L209" s="4"/>
    </row>
    <row r="210" spans="1:12">
      <c r="A210" s="28" t="s">
        <v>36</v>
      </c>
      <c r="B210" s="5"/>
      <c r="C210" s="4"/>
      <c r="D210" s="4"/>
      <c r="E210" s="4"/>
      <c r="F210" s="3"/>
      <c r="G210" s="4"/>
      <c r="H210" s="4"/>
      <c r="I210" s="4"/>
      <c r="J210" s="4"/>
      <c r="L210" s="4"/>
    </row>
    <row r="211" spans="1:12">
      <c r="A211" s="28" t="s">
        <v>82</v>
      </c>
      <c r="B211" s="4"/>
      <c r="C211" s="4"/>
      <c r="D211" s="4"/>
      <c r="E211" s="4"/>
      <c r="F211" s="3"/>
      <c r="G211" s="4"/>
      <c r="H211" s="4"/>
      <c r="I211" s="4"/>
      <c r="J211" s="4"/>
      <c r="L211" s="4"/>
    </row>
    <row r="212" spans="1:12">
      <c r="A212" s="28" t="s">
        <v>122</v>
      </c>
      <c r="B212" s="4"/>
      <c r="C212" s="4"/>
      <c r="D212" s="4"/>
      <c r="E212" s="4"/>
      <c r="F212" s="3"/>
      <c r="G212" s="4"/>
      <c r="H212" s="4"/>
      <c r="I212" s="4"/>
      <c r="J212" s="4"/>
      <c r="L212" s="4"/>
    </row>
    <row r="213" spans="1:12">
      <c r="A213" s="39" t="s">
        <v>123</v>
      </c>
      <c r="B213" s="4"/>
      <c r="C213" s="4"/>
      <c r="D213" s="4"/>
      <c r="E213" s="4"/>
      <c r="F213" s="3"/>
      <c r="G213" s="4"/>
      <c r="H213" s="4"/>
      <c r="I213" s="4"/>
      <c r="J213" s="4"/>
      <c r="L213" s="4"/>
    </row>
    <row r="214" spans="1:12">
      <c r="A214" s="39" t="s">
        <v>124</v>
      </c>
      <c r="B214" s="4"/>
      <c r="C214" s="4"/>
      <c r="D214" s="4"/>
      <c r="E214" s="4"/>
      <c r="F214" s="3"/>
      <c r="G214" s="4"/>
      <c r="H214" s="4"/>
      <c r="I214" s="4"/>
      <c r="J214" s="4"/>
      <c r="L214" s="4"/>
    </row>
    <row r="215" spans="1:12">
      <c r="A215" s="57" t="s">
        <v>125</v>
      </c>
      <c r="B215" s="4"/>
      <c r="C215" s="4"/>
      <c r="D215" s="4"/>
      <c r="E215" s="4"/>
      <c r="F215" s="3"/>
      <c r="G215" s="4"/>
      <c r="H215" s="4"/>
      <c r="I215" s="4"/>
      <c r="J215" s="4"/>
      <c r="L215" s="4"/>
    </row>
    <row r="216" spans="1:12">
      <c r="A216" s="57"/>
      <c r="B216" s="4"/>
      <c r="C216" s="4"/>
      <c r="D216" s="4"/>
      <c r="E216" s="4"/>
      <c r="F216" s="3"/>
      <c r="G216" s="4"/>
      <c r="H216" s="4"/>
      <c r="I216" s="4"/>
      <c r="J216" s="4"/>
      <c r="L216" s="4"/>
    </row>
    <row r="217" spans="1:12">
      <c r="A217" s="57"/>
      <c r="B217" s="4"/>
      <c r="C217" s="4"/>
      <c r="D217" s="4"/>
      <c r="E217" s="4"/>
      <c r="F217" s="3"/>
      <c r="G217" s="4"/>
      <c r="H217" s="4"/>
      <c r="I217" s="4"/>
      <c r="J217" s="4"/>
      <c r="L217" s="4"/>
    </row>
    <row r="218" spans="1:12">
      <c r="B218" s="4"/>
      <c r="C218" s="4"/>
      <c r="D218" s="4"/>
      <c r="E218" s="4"/>
      <c r="F218" s="3"/>
      <c r="G218" s="4"/>
      <c r="H218" s="4"/>
      <c r="I218" s="4"/>
      <c r="J218" s="4"/>
      <c r="L218" s="4"/>
    </row>
    <row r="219" spans="1:12">
      <c r="B219" s="4"/>
      <c r="C219" s="4"/>
      <c r="D219" s="4"/>
      <c r="E219" s="4"/>
      <c r="F219" s="3"/>
      <c r="G219" s="4"/>
      <c r="H219" s="4"/>
      <c r="I219" s="4"/>
      <c r="J219" s="4"/>
      <c r="L219" s="4"/>
    </row>
    <row r="220" spans="1:12">
      <c r="B220" s="4"/>
      <c r="C220" s="4"/>
      <c r="D220" s="4"/>
      <c r="E220" s="4"/>
      <c r="F220" s="3"/>
      <c r="G220" s="4"/>
      <c r="H220" s="4"/>
      <c r="I220" s="4"/>
      <c r="J220" s="4"/>
      <c r="L220" s="4"/>
    </row>
    <row r="221" spans="1:12">
      <c r="B221" s="4"/>
      <c r="C221" s="4"/>
      <c r="D221" s="4"/>
      <c r="E221" s="4"/>
      <c r="F221" s="3"/>
      <c r="G221" s="4"/>
      <c r="H221" s="4"/>
      <c r="I221" s="4"/>
      <c r="J221" s="4"/>
      <c r="L221" s="4"/>
    </row>
    <row r="222" spans="1:12">
      <c r="B222" s="4"/>
      <c r="C222" s="4"/>
      <c r="D222" s="4"/>
      <c r="E222" s="4"/>
      <c r="F222" s="3"/>
      <c r="G222" s="4"/>
      <c r="H222" s="4"/>
      <c r="I222" s="4"/>
      <c r="J222" s="4"/>
      <c r="L222" s="4"/>
    </row>
    <row r="223" spans="1:12">
      <c r="B223" s="4"/>
      <c r="C223" s="4"/>
      <c r="D223" s="4"/>
      <c r="E223" s="4"/>
      <c r="F223" s="3"/>
      <c r="G223" s="4"/>
      <c r="H223" s="4"/>
      <c r="I223" s="4"/>
      <c r="J223" s="4"/>
      <c r="L223" s="4"/>
    </row>
    <row r="224" spans="1:12">
      <c r="B224" s="4"/>
      <c r="C224" s="4"/>
      <c r="D224" s="4"/>
      <c r="E224" s="4"/>
      <c r="F224" s="3"/>
      <c r="G224" s="4"/>
      <c r="H224" s="4"/>
      <c r="I224" s="4"/>
      <c r="J224" s="4"/>
      <c r="L224" s="4"/>
    </row>
    <row r="225" spans="2:12">
      <c r="B225" s="4"/>
      <c r="C225" s="4"/>
      <c r="D225" s="4"/>
      <c r="E225" s="4"/>
      <c r="F225" s="3"/>
      <c r="G225" s="4"/>
      <c r="H225" s="4"/>
      <c r="I225" s="4"/>
      <c r="J225" s="4"/>
      <c r="L225" s="4"/>
    </row>
    <row r="226" spans="2:12">
      <c r="B226" s="4"/>
      <c r="C226" s="4"/>
      <c r="D226" s="4"/>
      <c r="E226" s="4"/>
      <c r="F226" s="3"/>
      <c r="G226" s="4"/>
      <c r="H226" s="4"/>
      <c r="I226" s="4"/>
      <c r="J226" s="4"/>
      <c r="L226" s="4"/>
    </row>
    <row r="227" spans="2:12">
      <c r="B227" s="4"/>
      <c r="C227" s="4"/>
      <c r="D227" s="4"/>
      <c r="E227" s="4"/>
      <c r="F227" s="3"/>
      <c r="G227" s="4"/>
      <c r="H227" s="4"/>
      <c r="I227" s="4"/>
      <c r="J227" s="4"/>
      <c r="L227" s="4"/>
    </row>
    <row r="228" spans="2:12">
      <c r="B228" s="4"/>
      <c r="C228" s="4"/>
      <c r="D228" s="4"/>
      <c r="E228" s="4"/>
      <c r="F228" s="3"/>
      <c r="G228" s="4"/>
      <c r="H228" s="4"/>
      <c r="I228" s="4"/>
      <c r="J228" s="4"/>
      <c r="L228" s="4"/>
    </row>
    <row r="229" spans="2:12">
      <c r="B229" s="4"/>
      <c r="C229" s="4"/>
      <c r="D229" s="4"/>
      <c r="E229" s="4"/>
      <c r="F229" s="3"/>
      <c r="G229" s="4"/>
      <c r="H229" s="4"/>
      <c r="I229" s="4"/>
      <c r="J229" s="4"/>
      <c r="L229" s="4"/>
    </row>
    <row r="230" spans="2:12">
      <c r="B230" s="4"/>
      <c r="C230" s="4"/>
      <c r="D230" s="4"/>
      <c r="E230" s="4"/>
      <c r="F230" s="3"/>
      <c r="G230" s="4"/>
      <c r="H230" s="4"/>
      <c r="I230" s="4"/>
      <c r="J230" s="4"/>
      <c r="L230" s="4"/>
    </row>
    <row r="231" spans="2:12">
      <c r="B231" s="4"/>
      <c r="C231" s="4"/>
      <c r="D231" s="4"/>
      <c r="E231" s="4"/>
      <c r="F231" s="3"/>
      <c r="G231" s="4"/>
      <c r="H231" s="4"/>
      <c r="I231" s="4"/>
      <c r="J231" s="4"/>
      <c r="L231" s="4"/>
    </row>
    <row r="232" spans="2:12">
      <c r="B232" s="4"/>
      <c r="C232" s="4"/>
      <c r="D232" s="4"/>
      <c r="E232" s="4"/>
      <c r="F232" s="3"/>
      <c r="G232" s="4"/>
      <c r="H232" s="4"/>
      <c r="I232" s="4"/>
      <c r="J232" s="4"/>
      <c r="L232" s="4"/>
    </row>
    <row r="233" spans="2:12">
      <c r="B233" s="4"/>
      <c r="C233" s="4"/>
      <c r="D233" s="4"/>
      <c r="E233" s="4"/>
      <c r="F233" s="3"/>
      <c r="G233" s="4"/>
      <c r="H233" s="4"/>
      <c r="I233" s="4"/>
      <c r="J233" s="4"/>
      <c r="L233" s="4"/>
    </row>
    <row r="234" spans="2:12">
      <c r="B234" s="4"/>
      <c r="C234" s="4"/>
      <c r="D234" s="4"/>
      <c r="E234" s="4"/>
      <c r="F234" s="3"/>
      <c r="G234" s="4"/>
      <c r="H234" s="4"/>
      <c r="I234" s="4"/>
      <c r="J234" s="4"/>
      <c r="L234" s="4"/>
    </row>
    <row r="235" spans="2:12">
      <c r="B235" s="4"/>
      <c r="C235" s="4"/>
      <c r="D235" s="4"/>
      <c r="E235" s="4"/>
      <c r="F235" s="3"/>
      <c r="G235" s="4"/>
      <c r="H235" s="4"/>
      <c r="I235" s="4"/>
      <c r="J235" s="4"/>
      <c r="L235" s="4"/>
    </row>
    <row r="236" spans="2:12">
      <c r="B236" s="4"/>
      <c r="C236" s="4"/>
      <c r="D236" s="4"/>
      <c r="E236" s="4"/>
      <c r="F236" s="3"/>
      <c r="G236" s="4"/>
      <c r="H236" s="4"/>
      <c r="I236" s="4"/>
      <c r="J236" s="4"/>
      <c r="L236" s="4"/>
    </row>
    <row r="237" spans="2:12">
      <c r="B237" s="4"/>
      <c r="C237" s="4"/>
      <c r="D237" s="4"/>
      <c r="E237" s="4"/>
      <c r="F237" s="3"/>
      <c r="G237" s="4"/>
      <c r="H237" s="4"/>
      <c r="I237" s="4"/>
      <c r="J237" s="4"/>
      <c r="L237" s="4"/>
    </row>
  </sheetData>
  <mergeCells count="20">
    <mergeCell ref="T201:AB201"/>
    <mergeCell ref="T153:AB153"/>
    <mergeCell ref="T165:AB165"/>
    <mergeCell ref="T177:AB177"/>
    <mergeCell ref="T189:AB189"/>
    <mergeCell ref="T93:AB93"/>
    <mergeCell ref="T105:AB105"/>
    <mergeCell ref="T117:AB117"/>
    <mergeCell ref="T129:AB129"/>
    <mergeCell ref="T141:AB141"/>
    <mergeCell ref="T33:AB33"/>
    <mergeCell ref="T45:AB45"/>
    <mergeCell ref="T57:AB57"/>
    <mergeCell ref="T69:AB69"/>
    <mergeCell ref="T81:AB81"/>
    <mergeCell ref="A2:R2"/>
    <mergeCell ref="A3:R3"/>
    <mergeCell ref="A4:R4"/>
    <mergeCell ref="A1:R1"/>
    <mergeCell ref="T21:AB21"/>
  </mergeCells>
  <printOptions horizontalCentered="1"/>
  <pageMargins left="0.31" right="0.2" top="0.35" bottom="0.51" header="0.3" footer="0.3"/>
  <pageSetup scale="55" fitToHeight="3" orientation="landscape" r:id="rId1"/>
  <headerFooter alignWithMargins="0">
    <oddFooter>&amp;LHouse Ways and Means Cmte Amendment 1001 2-14-13&amp;R&amp;D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8"/>
  <sheetViews>
    <sheetView topLeftCell="A94" zoomScale="80" zoomScaleNormal="80" workbookViewId="0">
      <selection activeCell="T20" sqref="T20"/>
    </sheetView>
  </sheetViews>
  <sheetFormatPr defaultColWidth="9.109375" defaultRowHeight="13.2"/>
  <cols>
    <col min="1" max="1" width="43.44140625" style="11" customWidth="1"/>
    <col min="2" max="2" width="8.33203125" style="1" bestFit="1" customWidth="1"/>
    <col min="3" max="3" width="1.44140625" style="1" customWidth="1"/>
    <col min="4" max="4" width="8.33203125" style="1" bestFit="1" customWidth="1"/>
    <col min="5" max="5" width="1.5546875" style="1" customWidth="1"/>
    <col min="6" max="6" width="8.33203125" style="2" bestFit="1" customWidth="1"/>
    <col min="7" max="7" width="1.44140625" style="1" customWidth="1"/>
    <col min="8" max="8" width="9.33203125" style="1" customWidth="1"/>
    <col min="9" max="9" width="1.5546875" style="1" customWidth="1"/>
    <col min="10" max="10" width="8.33203125" style="1" bestFit="1" customWidth="1"/>
    <col min="11" max="11" width="1.44140625" style="1" customWidth="1"/>
    <col min="12" max="12" width="8.5546875" style="1" bestFit="1" customWidth="1"/>
    <col min="13" max="13" width="1.44140625" style="1" customWidth="1"/>
    <col min="14" max="14" width="18.6640625" style="957" customWidth="1"/>
    <col min="15" max="15" width="1.44140625" style="957" customWidth="1"/>
    <col min="16" max="16" width="18.6640625" style="957" customWidth="1"/>
    <col min="17" max="17" width="1.44140625" style="957" customWidth="1"/>
    <col min="18" max="18" width="18.6640625" style="957" customWidth="1"/>
    <col min="19" max="19" width="9.109375" style="2749"/>
    <col min="20" max="20" width="9.109375" style="3170"/>
    <col min="21" max="21" width="1.6640625" style="3170" customWidth="1"/>
    <col min="22" max="22" width="9.109375" style="3170"/>
    <col min="23" max="23" width="1.6640625" style="3170" customWidth="1"/>
    <col min="24" max="24" width="9.109375" style="3170"/>
    <col min="25" max="25" width="1.6640625" style="3170" customWidth="1"/>
    <col min="26" max="26" width="9.109375" style="3170"/>
    <col min="27" max="27" width="1.6640625" style="3170" customWidth="1"/>
    <col min="28" max="28" width="9.109375" style="3170"/>
    <col min="29" max="29" width="1.6640625" style="3170" customWidth="1"/>
    <col min="30" max="30" width="9.109375" style="3170"/>
    <col min="31" max="16384" width="9.109375" style="1"/>
  </cols>
  <sheetData>
    <row r="1" spans="1:30">
      <c r="A1" s="4479" t="s">
        <v>68</v>
      </c>
      <c r="B1" s="4479"/>
      <c r="C1" s="4479"/>
      <c r="D1" s="4479"/>
      <c r="E1" s="4479"/>
      <c r="F1" s="4479"/>
      <c r="G1" s="4479"/>
      <c r="H1" s="4479"/>
      <c r="I1" s="4479"/>
      <c r="J1" s="4479"/>
      <c r="K1" s="4479"/>
      <c r="L1" s="4479"/>
      <c r="M1" s="4479"/>
      <c r="N1" s="4479"/>
      <c r="O1" s="4479"/>
      <c r="P1" s="4479"/>
      <c r="Q1" s="4479"/>
      <c r="R1" s="4479"/>
    </row>
    <row r="2" spans="1:30">
      <c r="A2" s="4480" t="s">
        <v>37</v>
      </c>
      <c r="B2" s="4480"/>
      <c r="C2" s="4480"/>
      <c r="D2" s="4480"/>
      <c r="E2" s="4480"/>
      <c r="F2" s="4480"/>
      <c r="G2" s="4480"/>
      <c r="H2" s="4480"/>
      <c r="I2" s="4480"/>
      <c r="J2" s="4480"/>
      <c r="K2" s="4480"/>
      <c r="L2" s="4480"/>
      <c r="M2" s="4480"/>
      <c r="N2" s="4480"/>
      <c r="O2" s="4480"/>
      <c r="P2" s="4480"/>
      <c r="Q2" s="4480"/>
      <c r="R2" s="4480"/>
    </row>
    <row r="3" spans="1:30">
      <c r="A3" s="4481" t="s">
        <v>0</v>
      </c>
      <c r="B3" s="4481"/>
      <c r="C3" s="4481"/>
      <c r="D3" s="4481"/>
      <c r="E3" s="4481"/>
      <c r="F3" s="4481"/>
      <c r="G3" s="4481"/>
      <c r="H3" s="4481"/>
      <c r="I3" s="4481"/>
      <c r="J3" s="4481"/>
      <c r="K3" s="4481"/>
      <c r="L3" s="4481"/>
      <c r="M3" s="4481"/>
      <c r="N3" s="4481"/>
      <c r="O3" s="4481"/>
      <c r="P3" s="4481"/>
      <c r="Q3" s="4481"/>
      <c r="R3" s="4481"/>
    </row>
    <row r="4" spans="1:30">
      <c r="A4" s="4481" t="s">
        <v>38</v>
      </c>
      <c r="B4" s="4481"/>
      <c r="C4" s="4481"/>
      <c r="D4" s="4481"/>
      <c r="E4" s="4481"/>
      <c r="F4" s="4481"/>
      <c r="G4" s="4481"/>
      <c r="H4" s="4481"/>
      <c r="I4" s="4481"/>
      <c r="J4" s="4481"/>
      <c r="K4" s="4481"/>
      <c r="L4" s="4481"/>
      <c r="M4" s="4481"/>
      <c r="N4" s="4481"/>
      <c r="O4" s="4481"/>
      <c r="P4" s="4481"/>
      <c r="Q4" s="4481"/>
      <c r="R4" s="4481"/>
    </row>
    <row r="5" spans="1:30" ht="13.8" thickBot="1">
      <c r="A5" s="52" t="s">
        <v>1</v>
      </c>
      <c r="B5" s="52"/>
      <c r="C5" s="52"/>
      <c r="D5" s="52"/>
      <c r="E5" s="52"/>
      <c r="F5" s="52"/>
      <c r="G5" s="52"/>
      <c r="H5" s="52"/>
      <c r="I5" s="52"/>
      <c r="J5" s="52"/>
      <c r="K5" s="52"/>
      <c r="L5" s="52"/>
      <c r="M5" s="52"/>
      <c r="O5" s="958"/>
      <c r="Q5" s="958"/>
    </row>
    <row r="6" spans="1:30" s="7" customFormat="1" ht="27" thickBot="1">
      <c r="A6" s="442" t="s">
        <v>173</v>
      </c>
      <c r="B6" s="60" t="s">
        <v>2</v>
      </c>
      <c r="C6" s="61"/>
      <c r="D6" s="62" t="s">
        <v>3</v>
      </c>
      <c r="E6" s="61"/>
      <c r="F6" s="63" t="s">
        <v>4</v>
      </c>
      <c r="G6" s="61"/>
      <c r="H6" s="59" t="s">
        <v>5</v>
      </c>
      <c r="I6" s="61"/>
      <c r="J6" s="59" t="s">
        <v>6</v>
      </c>
      <c r="K6" s="61"/>
      <c r="L6" s="59" t="s">
        <v>7</v>
      </c>
      <c r="M6" s="61"/>
      <c r="N6" s="959" t="s">
        <v>33</v>
      </c>
      <c r="O6" s="960"/>
      <c r="P6" s="959" t="s">
        <v>34</v>
      </c>
      <c r="Q6" s="960"/>
      <c r="R6" s="961" t="s">
        <v>35</v>
      </c>
      <c r="S6" s="3239"/>
      <c r="T6" s="3246"/>
      <c r="U6" s="3767"/>
      <c r="V6" s="3767"/>
      <c r="W6" s="3767"/>
      <c r="X6" s="3767"/>
      <c r="Y6" s="3767"/>
      <c r="Z6" s="3767"/>
      <c r="AA6" s="3767"/>
      <c r="AB6" s="3767"/>
      <c r="AC6" s="3767"/>
      <c r="AD6" s="3767"/>
    </row>
    <row r="7" spans="1:30">
      <c r="A7" s="15" t="s">
        <v>28</v>
      </c>
      <c r="B7" s="3205">
        <f>B15+B23+B31+B39+B47+B55+B63+B71+B79+B87+B95+B103+B111+B119+B127+B135</f>
        <v>688</v>
      </c>
      <c r="C7" s="3084"/>
      <c r="D7" s="3085">
        <f>D15+D23+D31+D39+D47+D55+D63+D71+D79+D87+D95+D103+D111+D119+D127+D135</f>
        <v>782</v>
      </c>
      <c r="E7" s="3084"/>
      <c r="F7" s="3085">
        <f>F15+F23+F31+F39+F47+F55+F63+F71+F79+F87+F95+F103+F111+F119+F127+F135</f>
        <v>702</v>
      </c>
      <c r="G7" s="3084"/>
      <c r="H7" s="3085">
        <f>H15+H23+H31+H39+H47+H55+H63+H71+H79+H87+H95+H103+H111+H119+H127+H135</f>
        <v>632</v>
      </c>
      <c r="I7" s="3084"/>
      <c r="J7" s="3085">
        <f>J15+J23+J31+J39+J47+J55+J63+J71+J79+J87+J95+J103+J111+J119+J127+J135</f>
        <v>850</v>
      </c>
      <c r="K7" s="3084"/>
      <c r="L7" s="3085">
        <f>L15+L23+L31+L39+L47+L55+L63+L71+L79+L87+L95+L103+L111+L119+L127+L135</f>
        <v>1326</v>
      </c>
      <c r="M7" s="72"/>
      <c r="N7" s="962">
        <f>AVERAGE(B7:F7)</f>
        <v>724</v>
      </c>
      <c r="O7" s="963"/>
      <c r="P7" s="962">
        <f>AVERAGE(H7:L7)</f>
        <v>936</v>
      </c>
      <c r="Q7" s="963"/>
      <c r="R7" s="964">
        <f>P7-N7</f>
        <v>212</v>
      </c>
      <c r="T7" s="3166"/>
    </row>
    <row r="8" spans="1:30">
      <c r="A8" s="15"/>
      <c r="B8" s="3083"/>
      <c r="C8" s="3084"/>
      <c r="D8" s="3085"/>
      <c r="E8" s="3084"/>
      <c r="F8" s="3085"/>
      <c r="G8" s="3084"/>
      <c r="H8" s="3085"/>
      <c r="I8" s="3084"/>
      <c r="J8" s="3085"/>
      <c r="K8" s="3084"/>
      <c r="L8" s="3085"/>
      <c r="M8" s="72"/>
      <c r="N8" s="962"/>
      <c r="O8" s="963"/>
      <c r="P8" s="962"/>
      <c r="Q8" s="963"/>
      <c r="R8" s="964"/>
    </row>
    <row r="9" spans="1:30">
      <c r="A9" s="15" t="s">
        <v>65</v>
      </c>
      <c r="B9" s="3083">
        <f t="shared" ref="B9:D11" si="0">B17+B25+B33+B41+B49+B57+B65+B73+B81+B89+B97+B105+B113+B121+B129+B137</f>
        <v>1599.8400000000001</v>
      </c>
      <c r="C9" s="3068"/>
      <c r="D9" s="3069">
        <f t="shared" si="0"/>
        <v>1691</v>
      </c>
      <c r="E9" s="3068"/>
      <c r="F9" s="3069">
        <f t="shared" ref="F9" si="1">F17+F25+F33+F41+F49+F57+F65+F73+F81+F89+F97+F105+F113+F121+F129+F137</f>
        <v>1904</v>
      </c>
      <c r="G9" s="3068"/>
      <c r="H9" s="3069">
        <f t="shared" ref="H9" si="2">H17+H25+H33+H41+H49+H57+H65+H73+H81+H89+H97+H105+H113+H121+H129+H137</f>
        <v>1753</v>
      </c>
      <c r="I9" s="3068"/>
      <c r="J9" s="3069">
        <f t="shared" ref="J9" si="3">J17+J25+J33+J41+J49+J57+J65+J73+J81+J89+J97+J105+J113+J121+J129+J137</f>
        <v>2684</v>
      </c>
      <c r="K9" s="3068"/>
      <c r="L9" s="3069">
        <f t="shared" ref="L9" si="4">L17+L25+L33+L41+L49+L57+L65+L73+L81+L89+L97+L105+L113+L121+L129+L137</f>
        <v>3465</v>
      </c>
      <c r="M9" s="74"/>
      <c r="N9" s="962">
        <f>AVERAGE(B9:F9)</f>
        <v>1731.6133333333335</v>
      </c>
      <c r="O9" s="963"/>
      <c r="P9" s="962">
        <f>AVERAGE(H9:L9)</f>
        <v>2634</v>
      </c>
      <c r="Q9" s="963"/>
      <c r="R9" s="964">
        <f>P9-N9</f>
        <v>902.38666666666654</v>
      </c>
      <c r="T9" s="3166"/>
    </row>
    <row r="10" spans="1:30">
      <c r="A10" s="15"/>
      <c r="B10" s="3083"/>
      <c r="C10" s="3068"/>
      <c r="D10" s="3069"/>
      <c r="E10" s="3068"/>
      <c r="F10" s="3069"/>
      <c r="G10" s="3068"/>
      <c r="H10" s="3069"/>
      <c r="I10" s="3068"/>
      <c r="J10" s="3069"/>
      <c r="K10" s="3068"/>
      <c r="L10" s="3069"/>
      <c r="M10" s="74"/>
      <c r="N10" s="962"/>
      <c r="O10" s="965"/>
      <c r="P10" s="962"/>
      <c r="Q10" s="965"/>
      <c r="R10" s="964"/>
    </row>
    <row r="11" spans="1:30" ht="13.8" thickBot="1">
      <c r="A11" s="16" t="s">
        <v>29</v>
      </c>
      <c r="B11" s="3204">
        <f t="shared" si="0"/>
        <v>3609</v>
      </c>
      <c r="C11" s="3071"/>
      <c r="D11" s="3072">
        <f t="shared" si="0"/>
        <v>3737</v>
      </c>
      <c r="E11" s="3071"/>
      <c r="F11" s="3072">
        <f t="shared" ref="F11" si="5">F19+F27+F35+F43+F51+F59+F67+F75+F83+F91+F99+F107+F115+F123+F131+F139</f>
        <v>3900</v>
      </c>
      <c r="G11" s="3071"/>
      <c r="H11" s="3072">
        <f t="shared" ref="H11" si="6">H19+H27+H35+H43+H51+H59+H67+H75+H83+H91+H99+H107+H115+H123+H131+H139</f>
        <v>4064</v>
      </c>
      <c r="I11" s="3071"/>
      <c r="J11" s="3072">
        <f t="shared" ref="J11" si="7">J19+J27+J35+J43+J51+J59+J67+J75+J83+J91+J99+J107+J115+J123+J131+J139</f>
        <v>4974</v>
      </c>
      <c r="K11" s="3071"/>
      <c r="L11" s="3072">
        <f t="shared" ref="L11" si="8">L19+L27+L35+L43+L51+L59+L67+L75+L83+L91+L99+L107+L115+L123+L131+L139</f>
        <v>6136</v>
      </c>
      <c r="M11" s="81"/>
      <c r="N11" s="966">
        <f>AVERAGE(B11:F11)</f>
        <v>3748.6666666666665</v>
      </c>
      <c r="O11" s="967"/>
      <c r="P11" s="966">
        <f>AVERAGE(H11:L11)</f>
        <v>5058</v>
      </c>
      <c r="Q11" s="967"/>
      <c r="R11" s="968">
        <f>P11-N11</f>
        <v>1309.3333333333335</v>
      </c>
      <c r="T11" s="3166"/>
    </row>
    <row r="12" spans="1:30" ht="14.4" thickTop="1" thickBot="1">
      <c r="A12" s="14" t="s">
        <v>32</v>
      </c>
      <c r="B12" s="68">
        <f>SUM(B7:B11)</f>
        <v>5896.84</v>
      </c>
      <c r="C12" s="70"/>
      <c r="D12" s="69">
        <f>SUM(D7:D11)</f>
        <v>6210</v>
      </c>
      <c r="E12" s="70"/>
      <c r="F12" s="69">
        <f>SUM(F7:F11)</f>
        <v>6506</v>
      </c>
      <c r="G12" s="70"/>
      <c r="H12" s="69">
        <f>SUM(H7:H11)</f>
        <v>6449</v>
      </c>
      <c r="I12" s="70"/>
      <c r="J12" s="69">
        <f>SUM(J7:J11)</f>
        <v>8508</v>
      </c>
      <c r="K12" s="70"/>
      <c r="L12" s="69">
        <f>SUM(L7:L11)</f>
        <v>10927</v>
      </c>
      <c r="M12" s="70"/>
      <c r="N12" s="969">
        <f>SUM(N7:N11)</f>
        <v>6204.2800000000007</v>
      </c>
      <c r="O12" s="970"/>
      <c r="P12" s="969">
        <f>SUM(P7:P11)</f>
        <v>8628</v>
      </c>
      <c r="Q12" s="970"/>
      <c r="R12" s="971">
        <f>SUM(R7:R11)</f>
        <v>2423.7200000000003</v>
      </c>
    </row>
    <row r="13" spans="1:30" ht="13.8" thickBot="1"/>
    <row r="14" spans="1:30" s="1114" customFormat="1" ht="27" customHeight="1" thickBot="1">
      <c r="A14" s="442" t="s">
        <v>172</v>
      </c>
      <c r="B14" s="1120" t="s">
        <v>2</v>
      </c>
      <c r="C14" s="1121"/>
      <c r="D14" s="1122" t="s">
        <v>3</v>
      </c>
      <c r="E14" s="1121"/>
      <c r="F14" s="1123" t="s">
        <v>4</v>
      </c>
      <c r="G14" s="1121"/>
      <c r="H14" s="1119" t="s">
        <v>5</v>
      </c>
      <c r="I14" s="1121"/>
      <c r="J14" s="1119" t="s">
        <v>6</v>
      </c>
      <c r="K14" s="1121"/>
      <c r="L14" s="1119" t="s">
        <v>7</v>
      </c>
      <c r="M14" s="1121"/>
      <c r="N14" s="959" t="s">
        <v>33</v>
      </c>
      <c r="O14" s="960"/>
      <c r="P14" s="959" t="s">
        <v>34</v>
      </c>
      <c r="Q14" s="960"/>
      <c r="R14" s="961" t="s">
        <v>35</v>
      </c>
      <c r="S14" s="3239"/>
      <c r="T14" s="3767"/>
      <c r="U14" s="3767"/>
      <c r="V14" s="3767"/>
      <c r="W14" s="3767"/>
      <c r="X14" s="3767"/>
      <c r="Y14" s="3767"/>
      <c r="Z14" s="3767"/>
      <c r="AA14" s="3767"/>
      <c r="AB14" s="3767"/>
      <c r="AC14" s="3767"/>
      <c r="AD14" s="3767"/>
    </row>
    <row r="15" spans="1:30" s="1112" customFormat="1">
      <c r="A15" s="1117" t="s">
        <v>28</v>
      </c>
      <c r="B15" s="1127"/>
      <c r="C15" s="1128"/>
      <c r="D15" s="1129"/>
      <c r="E15" s="1128"/>
      <c r="F15" s="1129"/>
      <c r="G15" s="1128"/>
      <c r="H15" s="1129"/>
      <c r="I15" s="1128"/>
      <c r="J15" s="1129"/>
      <c r="K15" s="1128"/>
      <c r="L15" s="1129"/>
      <c r="M15" s="1128"/>
      <c r="N15" s="962"/>
      <c r="O15" s="963"/>
      <c r="P15" s="962"/>
      <c r="Q15" s="963"/>
      <c r="R15" s="964"/>
      <c r="S15" s="2749"/>
      <c r="T15" s="3170"/>
      <c r="U15" s="3170"/>
      <c r="V15" s="3170"/>
      <c r="W15" s="3170"/>
      <c r="X15" s="3170"/>
      <c r="Y15" s="3170"/>
      <c r="Z15" s="3170"/>
      <c r="AA15" s="3170"/>
      <c r="AB15" s="3170"/>
      <c r="AC15" s="3170"/>
      <c r="AD15" s="3170"/>
    </row>
    <row r="16" spans="1:30" s="1112" customFormat="1" ht="13.8" thickBot="1">
      <c r="A16" s="1117"/>
      <c r="B16" s="1127"/>
      <c r="C16" s="1128"/>
      <c r="D16" s="1129"/>
      <c r="E16" s="1128"/>
      <c r="F16" s="1129"/>
      <c r="G16" s="1128"/>
      <c r="H16" s="1129"/>
      <c r="I16" s="1128"/>
      <c r="J16" s="1129"/>
      <c r="K16" s="1128"/>
      <c r="L16" s="1129"/>
      <c r="M16" s="1128"/>
      <c r="N16" s="962"/>
      <c r="O16" s="963"/>
      <c r="P16" s="962"/>
      <c r="Q16" s="963"/>
      <c r="R16" s="964"/>
      <c r="S16" s="2749"/>
      <c r="T16" s="3170"/>
      <c r="U16" s="3170"/>
      <c r="V16" s="3170"/>
      <c r="W16" s="3170"/>
      <c r="X16" s="3170"/>
      <c r="Y16" s="3170"/>
      <c r="Z16" s="3170"/>
      <c r="AA16" s="3170"/>
      <c r="AB16" s="3170"/>
      <c r="AC16" s="3170"/>
      <c r="AD16" s="3170"/>
    </row>
    <row r="17" spans="1:30" s="1112" customFormat="1">
      <c r="A17" s="1117" t="s">
        <v>65</v>
      </c>
      <c r="B17" s="1130"/>
      <c r="C17" s="1131"/>
      <c r="D17" s="1132"/>
      <c r="E17" s="1131"/>
      <c r="F17" s="1132"/>
      <c r="G17" s="1131"/>
      <c r="H17" s="1132"/>
      <c r="I17" s="1131"/>
      <c r="J17" s="1132"/>
      <c r="K17" s="1131"/>
      <c r="L17" s="1132"/>
      <c r="M17" s="1131"/>
      <c r="N17" s="962"/>
      <c r="O17" s="963"/>
      <c r="P17" s="962"/>
      <c r="Q17" s="963"/>
      <c r="R17" s="964"/>
      <c r="S17" s="2749"/>
      <c r="T17" s="4483" t="s">
        <v>469</v>
      </c>
      <c r="U17" s="4484"/>
      <c r="V17" s="4484"/>
      <c r="W17" s="4484"/>
      <c r="X17" s="4484"/>
      <c r="Y17" s="4484"/>
      <c r="Z17" s="4484"/>
      <c r="AA17" s="4484"/>
      <c r="AB17" s="4484"/>
      <c r="AC17" s="4484"/>
      <c r="AD17" s="4485"/>
    </row>
    <row r="18" spans="1:30" s="1112" customFormat="1" ht="13.8" thickBot="1">
      <c r="A18" s="1117"/>
      <c r="B18" s="1130"/>
      <c r="C18" s="1131"/>
      <c r="D18" s="1132"/>
      <c r="E18" s="1131"/>
      <c r="F18" s="1132"/>
      <c r="G18" s="1131"/>
      <c r="H18" s="1132"/>
      <c r="I18" s="1131"/>
      <c r="J18" s="1132"/>
      <c r="K18" s="1131"/>
      <c r="L18" s="1132"/>
      <c r="M18" s="1131"/>
      <c r="N18" s="962"/>
      <c r="O18" s="965"/>
      <c r="P18" s="962"/>
      <c r="Q18" s="965"/>
      <c r="R18" s="964"/>
      <c r="S18" s="2749"/>
      <c r="T18" s="3052">
        <v>2006</v>
      </c>
      <c r="U18" s="3032"/>
      <c r="V18" s="3032">
        <v>2007</v>
      </c>
      <c r="W18" s="3032"/>
      <c r="X18" s="3032">
        <v>2008</v>
      </c>
      <c r="Y18" s="3032"/>
      <c r="Z18" s="3032">
        <v>2009</v>
      </c>
      <c r="AA18" s="3032"/>
      <c r="AB18" s="3032">
        <v>2010</v>
      </c>
      <c r="AC18" s="3032"/>
      <c r="AD18" s="3545">
        <v>2011</v>
      </c>
    </row>
    <row r="19" spans="1:30" s="1112" customFormat="1" ht="13.8" thickBot="1">
      <c r="A19" s="1118" t="s">
        <v>29</v>
      </c>
      <c r="B19" s="1161">
        <v>551</v>
      </c>
      <c r="C19" s="1162"/>
      <c r="D19" s="1163">
        <v>555</v>
      </c>
      <c r="E19" s="1162"/>
      <c r="F19" s="1163">
        <v>526</v>
      </c>
      <c r="G19" s="1162"/>
      <c r="H19" s="1163">
        <v>556</v>
      </c>
      <c r="I19" s="1162"/>
      <c r="J19" s="1163">
        <v>702</v>
      </c>
      <c r="K19" s="1162"/>
      <c r="L19" s="1163">
        <v>840</v>
      </c>
      <c r="M19" s="1133"/>
      <c r="N19" s="966">
        <f>AVERAGE(B19:F19)</f>
        <v>544</v>
      </c>
      <c r="O19" s="967"/>
      <c r="P19" s="966">
        <f>AVERAGE(H19:L19)</f>
        <v>699.33333333333337</v>
      </c>
      <c r="Q19" s="967"/>
      <c r="R19" s="968">
        <f>P19-N19</f>
        <v>155.33333333333337</v>
      </c>
      <c r="S19" s="2749"/>
      <c r="T19" s="3837">
        <v>3802</v>
      </c>
      <c r="U19" s="3167"/>
      <c r="V19" s="3167">
        <v>3728</v>
      </c>
      <c r="W19" s="3167"/>
      <c r="X19" s="3167">
        <v>3745</v>
      </c>
      <c r="Y19" s="3167"/>
      <c r="Z19" s="3167">
        <v>3865</v>
      </c>
      <c r="AA19" s="3167"/>
      <c r="AB19" s="3167">
        <v>4865</v>
      </c>
      <c r="AC19" s="3167"/>
      <c r="AD19" s="3838">
        <v>5877</v>
      </c>
    </row>
    <row r="20" spans="1:30" s="1112" customFormat="1" ht="14.4" thickTop="1" thickBot="1">
      <c r="A20" s="1116" t="s">
        <v>32</v>
      </c>
      <c r="B20" s="1124">
        <f>SUM(B15:B19)</f>
        <v>551</v>
      </c>
      <c r="C20" s="1126"/>
      <c r="D20" s="1125">
        <f>SUM(D15:D19)</f>
        <v>555</v>
      </c>
      <c r="E20" s="1126"/>
      <c r="F20" s="1125">
        <f>SUM(F15:F19)</f>
        <v>526</v>
      </c>
      <c r="G20" s="1126"/>
      <c r="H20" s="1125">
        <f>SUM(H15:H19)</f>
        <v>556</v>
      </c>
      <c r="I20" s="1126"/>
      <c r="J20" s="1125">
        <f>SUM(J15:J19)</f>
        <v>702</v>
      </c>
      <c r="K20" s="1126"/>
      <c r="L20" s="1125">
        <f>SUM(L15:L19)</f>
        <v>840</v>
      </c>
      <c r="M20" s="1126"/>
      <c r="N20" s="969">
        <f>AVERAGE(B20:F20)</f>
        <v>544</v>
      </c>
      <c r="O20" s="970"/>
      <c r="P20" s="969">
        <f>AVERAGE(H20:L20)</f>
        <v>699.33333333333337</v>
      </c>
      <c r="Q20" s="970"/>
      <c r="R20" s="971">
        <f>P20-N20</f>
        <v>155.33333333333337</v>
      </c>
      <c r="S20" s="2749"/>
      <c r="T20" s="3839">
        <f>B20/T19</f>
        <v>0.1449237243556023</v>
      </c>
      <c r="U20" s="3840"/>
      <c r="V20" s="3840">
        <f>D20/V19</f>
        <v>0.14887339055793991</v>
      </c>
      <c r="W20" s="3840"/>
      <c r="X20" s="3840">
        <f>F20/X19</f>
        <v>0.1404539385847797</v>
      </c>
      <c r="Y20" s="3840"/>
      <c r="Z20" s="3840">
        <f>H20/Z19</f>
        <v>0.14385510996119016</v>
      </c>
      <c r="AA20" s="3840"/>
      <c r="AB20" s="3840">
        <f>J20/AB19</f>
        <v>0.14429599177800617</v>
      </c>
      <c r="AC20" s="3840"/>
      <c r="AD20" s="3841">
        <f>L20/AD19</f>
        <v>0.14293006636038796</v>
      </c>
    </row>
    <row r="21" spans="1:30" s="1140" customFormat="1" ht="13.8" thickBot="1">
      <c r="A21" s="1143"/>
      <c r="F21" s="1141"/>
      <c r="N21" s="957"/>
      <c r="O21" s="957"/>
      <c r="P21" s="957"/>
      <c r="Q21" s="957"/>
      <c r="R21" s="957"/>
      <c r="S21" s="2749"/>
      <c r="T21" s="3170"/>
      <c r="U21" s="3170"/>
      <c r="V21" s="3170"/>
      <c r="W21" s="3170"/>
      <c r="X21" s="3170"/>
      <c r="Y21" s="3170"/>
      <c r="Z21" s="3170"/>
      <c r="AA21" s="3170"/>
      <c r="AB21" s="3170"/>
      <c r="AC21" s="3170"/>
      <c r="AD21" s="3170"/>
    </row>
    <row r="22" spans="1:30" s="1142" customFormat="1" ht="27" customHeight="1" thickBot="1">
      <c r="A22" s="442" t="s">
        <v>174</v>
      </c>
      <c r="B22" s="1148" t="s">
        <v>2</v>
      </c>
      <c r="C22" s="1149"/>
      <c r="D22" s="1150" t="s">
        <v>3</v>
      </c>
      <c r="E22" s="1149"/>
      <c r="F22" s="1151" t="s">
        <v>4</v>
      </c>
      <c r="G22" s="1149"/>
      <c r="H22" s="1147" t="s">
        <v>5</v>
      </c>
      <c r="I22" s="1149"/>
      <c r="J22" s="1147" t="s">
        <v>6</v>
      </c>
      <c r="K22" s="1149"/>
      <c r="L22" s="1147" t="s">
        <v>7</v>
      </c>
      <c r="M22" s="1149"/>
      <c r="N22" s="959" t="s">
        <v>33</v>
      </c>
      <c r="O22" s="960"/>
      <c r="P22" s="959" t="s">
        <v>34</v>
      </c>
      <c r="Q22" s="960"/>
      <c r="R22" s="961" t="s">
        <v>35</v>
      </c>
      <c r="S22" s="3239"/>
      <c r="T22" s="3767"/>
      <c r="U22" s="3767"/>
      <c r="V22" s="3767"/>
      <c r="W22" s="3767"/>
      <c r="X22" s="3767"/>
      <c r="Y22" s="3767"/>
      <c r="Z22" s="3767"/>
      <c r="AA22" s="3767"/>
      <c r="AB22" s="3767"/>
      <c r="AC22" s="3767"/>
      <c r="AD22" s="3767"/>
    </row>
    <row r="23" spans="1:30" s="1140" customFormat="1">
      <c r="A23" s="1145" t="s">
        <v>28</v>
      </c>
      <c r="B23" s="1155"/>
      <c r="C23" s="1156"/>
      <c r="D23" s="1157"/>
      <c r="E23" s="1156"/>
      <c r="F23" s="1157"/>
      <c r="G23" s="1156"/>
      <c r="H23" s="1157"/>
      <c r="I23" s="1156"/>
      <c r="J23" s="1157"/>
      <c r="K23" s="1156"/>
      <c r="L23" s="1157"/>
      <c r="M23" s="1156"/>
      <c r="N23" s="962"/>
      <c r="O23" s="963"/>
      <c r="P23" s="962"/>
      <c r="Q23" s="963"/>
      <c r="R23" s="964"/>
      <c r="S23" s="2749"/>
      <c r="T23" s="3170"/>
      <c r="U23" s="3170"/>
      <c r="V23" s="3170"/>
      <c r="W23" s="3170"/>
      <c r="X23" s="3170"/>
      <c r="Y23" s="3170"/>
      <c r="Z23" s="3170"/>
      <c r="AA23" s="3170"/>
      <c r="AB23" s="3170"/>
      <c r="AC23" s="3170"/>
      <c r="AD23" s="3170"/>
    </row>
    <row r="24" spans="1:30" s="1140" customFormat="1" ht="13.8" thickBot="1">
      <c r="A24" s="1145"/>
      <c r="B24" s="1155"/>
      <c r="C24" s="1156"/>
      <c r="D24" s="1157"/>
      <c r="E24" s="1156"/>
      <c r="F24" s="1157"/>
      <c r="G24" s="1156"/>
      <c r="H24" s="1157"/>
      <c r="I24" s="1156"/>
      <c r="J24" s="1157"/>
      <c r="K24" s="1156"/>
      <c r="L24" s="1157"/>
      <c r="M24" s="1156"/>
      <c r="N24" s="962"/>
      <c r="O24" s="963"/>
      <c r="P24" s="962"/>
      <c r="Q24" s="963"/>
      <c r="R24" s="964"/>
      <c r="S24" s="2749"/>
      <c r="T24" s="3170"/>
      <c r="U24" s="3170"/>
      <c r="V24" s="3170"/>
      <c r="W24" s="3170"/>
      <c r="X24" s="3170"/>
      <c r="Y24" s="3170"/>
      <c r="Z24" s="3170"/>
      <c r="AA24" s="3170"/>
      <c r="AB24" s="3170"/>
      <c r="AC24" s="3170"/>
      <c r="AD24" s="3170"/>
    </row>
    <row r="25" spans="1:30" s="1140" customFormat="1">
      <c r="A25" s="1145" t="s">
        <v>65</v>
      </c>
      <c r="B25" s="1158"/>
      <c r="C25" s="1159"/>
      <c r="D25" s="1160"/>
      <c r="E25" s="1159"/>
      <c r="F25" s="1160"/>
      <c r="G25" s="1159"/>
      <c r="H25" s="1160"/>
      <c r="I25" s="1159"/>
      <c r="J25" s="1160"/>
      <c r="K25" s="1159"/>
      <c r="L25" s="1160"/>
      <c r="M25" s="1159"/>
      <c r="N25" s="962"/>
      <c r="O25" s="963"/>
      <c r="P25" s="962"/>
      <c r="Q25" s="963"/>
      <c r="R25" s="964"/>
      <c r="S25" s="2749"/>
      <c r="T25" s="4483" t="s">
        <v>469</v>
      </c>
      <c r="U25" s="4484"/>
      <c r="V25" s="4484"/>
      <c r="W25" s="4484"/>
      <c r="X25" s="4484"/>
      <c r="Y25" s="4484"/>
      <c r="Z25" s="4484"/>
      <c r="AA25" s="4484"/>
      <c r="AB25" s="4484"/>
      <c r="AC25" s="4484"/>
      <c r="AD25" s="4485"/>
    </row>
    <row r="26" spans="1:30" s="1140" customFormat="1" ht="13.8" thickBot="1">
      <c r="A26" s="1145"/>
      <c r="B26" s="1158"/>
      <c r="C26" s="1159"/>
      <c r="D26" s="1160"/>
      <c r="E26" s="1159"/>
      <c r="F26" s="1160"/>
      <c r="G26" s="1159"/>
      <c r="H26" s="1160"/>
      <c r="I26" s="1159"/>
      <c r="J26" s="1160"/>
      <c r="K26" s="1159"/>
      <c r="L26" s="1160"/>
      <c r="M26" s="1159"/>
      <c r="N26" s="962"/>
      <c r="O26" s="965"/>
      <c r="P26" s="962"/>
      <c r="Q26" s="965"/>
      <c r="R26" s="964"/>
      <c r="S26" s="2749"/>
      <c r="T26" s="3052">
        <v>2006</v>
      </c>
      <c r="U26" s="3032"/>
      <c r="V26" s="3032">
        <v>2007</v>
      </c>
      <c r="W26" s="3032"/>
      <c r="X26" s="3032">
        <v>2008</v>
      </c>
      <c r="Y26" s="3032"/>
      <c r="Z26" s="3032">
        <v>2009</v>
      </c>
      <c r="AA26" s="3032"/>
      <c r="AB26" s="3032">
        <v>2010</v>
      </c>
      <c r="AC26" s="3032"/>
      <c r="AD26" s="3545">
        <v>2011</v>
      </c>
    </row>
    <row r="27" spans="1:30" s="1140" customFormat="1" ht="13.8" thickBot="1">
      <c r="A27" s="1146" t="s">
        <v>29</v>
      </c>
      <c r="B27" s="1201">
        <v>62</v>
      </c>
      <c r="C27" s="1202"/>
      <c r="D27" s="1203">
        <v>76</v>
      </c>
      <c r="E27" s="1202"/>
      <c r="F27" s="1203">
        <v>62</v>
      </c>
      <c r="G27" s="1202"/>
      <c r="H27" s="1203">
        <v>75</v>
      </c>
      <c r="I27" s="1202"/>
      <c r="J27" s="1203">
        <v>114</v>
      </c>
      <c r="K27" s="1202"/>
      <c r="L27" s="1203">
        <v>137</v>
      </c>
      <c r="M27" s="1162"/>
      <c r="N27" s="966">
        <f>AVERAGE(B27:F27)</f>
        <v>66.666666666666671</v>
      </c>
      <c r="O27" s="967"/>
      <c r="P27" s="966">
        <f>AVERAGE(H27:L27)</f>
        <v>108.66666666666667</v>
      </c>
      <c r="Q27" s="967"/>
      <c r="R27" s="968">
        <f>P27-N27</f>
        <v>42</v>
      </c>
      <c r="S27" s="2749"/>
      <c r="T27" s="3837">
        <v>652</v>
      </c>
      <c r="U27" s="3167"/>
      <c r="V27" s="3167">
        <v>646</v>
      </c>
      <c r="W27" s="3167"/>
      <c r="X27" s="3167">
        <v>694</v>
      </c>
      <c r="Y27" s="3167"/>
      <c r="Z27" s="3167">
        <v>743</v>
      </c>
      <c r="AA27" s="3167"/>
      <c r="AB27" s="3167">
        <v>939</v>
      </c>
      <c r="AC27" s="3167"/>
      <c r="AD27" s="3838">
        <v>1054</v>
      </c>
    </row>
    <row r="28" spans="1:30" s="1140" customFormat="1" ht="14.4" thickTop="1" thickBot="1">
      <c r="A28" s="1144" t="s">
        <v>32</v>
      </c>
      <c r="B28" s="1152">
        <f>SUM(B23:B27)</f>
        <v>62</v>
      </c>
      <c r="C28" s="1154"/>
      <c r="D28" s="1153">
        <f>SUM(D23:D27)</f>
        <v>76</v>
      </c>
      <c r="E28" s="1154"/>
      <c r="F28" s="1153">
        <f>SUM(F23:F27)</f>
        <v>62</v>
      </c>
      <c r="G28" s="1154"/>
      <c r="H28" s="1153">
        <f>SUM(H23:H27)</f>
        <v>75</v>
      </c>
      <c r="I28" s="1154"/>
      <c r="J28" s="1153">
        <f>SUM(J23:J27)</f>
        <v>114</v>
      </c>
      <c r="K28" s="1154"/>
      <c r="L28" s="1153">
        <f>SUM(L23:L27)</f>
        <v>137</v>
      </c>
      <c r="M28" s="1154"/>
      <c r="N28" s="969">
        <f>AVERAGE(B28:F28)</f>
        <v>66.666666666666671</v>
      </c>
      <c r="O28" s="970"/>
      <c r="P28" s="969">
        <f>AVERAGE(H28:L28)</f>
        <v>108.66666666666667</v>
      </c>
      <c r="Q28" s="970"/>
      <c r="R28" s="971">
        <f>P28-N28</f>
        <v>42</v>
      </c>
      <c r="S28" s="2749"/>
      <c r="T28" s="3839">
        <f>B28/T27</f>
        <v>9.5092024539877307E-2</v>
      </c>
      <c r="U28" s="3840"/>
      <c r="V28" s="3840">
        <f>D28/V27</f>
        <v>0.11764705882352941</v>
      </c>
      <c r="W28" s="3840"/>
      <c r="X28" s="3840">
        <f>F28/X27</f>
        <v>8.9337175792507204E-2</v>
      </c>
      <c r="Y28" s="3840"/>
      <c r="Z28" s="3840">
        <f>H28/Z27</f>
        <v>0.1009421265141319</v>
      </c>
      <c r="AA28" s="3840"/>
      <c r="AB28" s="3840">
        <f>J28/AB27</f>
        <v>0.12140575079872204</v>
      </c>
      <c r="AC28" s="3840"/>
      <c r="AD28" s="3841">
        <f>L28/AD27</f>
        <v>0.12998102466793168</v>
      </c>
    </row>
    <row r="29" spans="1:30" s="1180" customFormat="1" ht="13.8" thickBot="1">
      <c r="A29" s="1183"/>
      <c r="F29" s="1181"/>
      <c r="N29" s="957"/>
      <c r="O29" s="957"/>
      <c r="P29" s="957"/>
      <c r="Q29" s="957"/>
      <c r="R29" s="957"/>
      <c r="S29" s="2749"/>
      <c r="T29" s="3170"/>
      <c r="U29" s="3170"/>
      <c r="V29" s="3170"/>
      <c r="W29" s="3170"/>
      <c r="X29" s="3170"/>
      <c r="Y29" s="3170"/>
      <c r="Z29" s="3170"/>
      <c r="AA29" s="3170"/>
      <c r="AB29" s="3170"/>
      <c r="AC29" s="3170"/>
      <c r="AD29" s="3170"/>
    </row>
    <row r="30" spans="1:30" s="1182" customFormat="1" ht="27" customHeight="1" thickBot="1">
      <c r="A30" s="442" t="s">
        <v>175</v>
      </c>
      <c r="B30" s="1188" t="s">
        <v>2</v>
      </c>
      <c r="C30" s="1189"/>
      <c r="D30" s="1190" t="s">
        <v>3</v>
      </c>
      <c r="E30" s="1189"/>
      <c r="F30" s="1191" t="s">
        <v>4</v>
      </c>
      <c r="G30" s="1189"/>
      <c r="H30" s="1187" t="s">
        <v>5</v>
      </c>
      <c r="I30" s="1189"/>
      <c r="J30" s="1187" t="s">
        <v>6</v>
      </c>
      <c r="K30" s="1189"/>
      <c r="L30" s="1187" t="s">
        <v>7</v>
      </c>
      <c r="M30" s="1189"/>
      <c r="N30" s="959" t="s">
        <v>33</v>
      </c>
      <c r="O30" s="960"/>
      <c r="P30" s="959" t="s">
        <v>34</v>
      </c>
      <c r="Q30" s="960"/>
      <c r="R30" s="961" t="s">
        <v>35</v>
      </c>
      <c r="S30" s="3239"/>
      <c r="T30" s="3767"/>
      <c r="U30" s="3767"/>
      <c r="V30" s="3767"/>
      <c r="W30" s="3767"/>
      <c r="X30" s="3767"/>
      <c r="Y30" s="3767"/>
      <c r="Z30" s="3767"/>
      <c r="AA30" s="3767"/>
      <c r="AB30" s="3767"/>
      <c r="AC30" s="3767"/>
      <c r="AD30" s="3767"/>
    </row>
    <row r="31" spans="1:30" s="1180" customFormat="1">
      <c r="A31" s="1185" t="s">
        <v>28</v>
      </c>
      <c r="B31" s="1195"/>
      <c r="C31" s="1196"/>
      <c r="D31" s="1197"/>
      <c r="E31" s="1196"/>
      <c r="F31" s="1197"/>
      <c r="G31" s="1196"/>
      <c r="H31" s="1197"/>
      <c r="I31" s="1196"/>
      <c r="J31" s="1197"/>
      <c r="K31" s="1196"/>
      <c r="L31" s="1197"/>
      <c r="M31" s="1196"/>
      <c r="N31" s="962"/>
      <c r="O31" s="963"/>
      <c r="P31" s="962"/>
      <c r="Q31" s="963"/>
      <c r="R31" s="964"/>
      <c r="S31" s="2749"/>
      <c r="T31" s="3170"/>
      <c r="U31" s="3170"/>
      <c r="V31" s="3170"/>
      <c r="W31" s="3170"/>
      <c r="X31" s="3170"/>
      <c r="Y31" s="3170"/>
      <c r="Z31" s="3170"/>
      <c r="AA31" s="3170"/>
      <c r="AB31" s="3170"/>
      <c r="AC31" s="3170"/>
      <c r="AD31" s="3170"/>
    </row>
    <row r="32" spans="1:30" s="1180" customFormat="1" ht="13.8" thickBot="1">
      <c r="A32" s="1185"/>
      <c r="B32" s="1195"/>
      <c r="C32" s="1196"/>
      <c r="D32" s="1197"/>
      <c r="E32" s="1196"/>
      <c r="F32" s="1197"/>
      <c r="G32" s="1196"/>
      <c r="H32" s="1197"/>
      <c r="I32" s="1196"/>
      <c r="J32" s="1197"/>
      <c r="K32" s="1196"/>
      <c r="L32" s="1197"/>
      <c r="M32" s="1196"/>
      <c r="N32" s="962"/>
      <c r="O32" s="963"/>
      <c r="P32" s="962"/>
      <c r="Q32" s="963"/>
      <c r="R32" s="964"/>
      <c r="S32" s="2749"/>
      <c r="T32" s="3170"/>
      <c r="U32" s="3170"/>
      <c r="V32" s="3170"/>
      <c r="W32" s="3170"/>
      <c r="X32" s="3170"/>
      <c r="Y32" s="3170"/>
      <c r="Z32" s="3170"/>
      <c r="AA32" s="3170"/>
      <c r="AB32" s="3170"/>
      <c r="AC32" s="3170"/>
      <c r="AD32" s="3170"/>
    </row>
    <row r="33" spans="1:30" s="1180" customFormat="1">
      <c r="A33" s="1185" t="s">
        <v>65</v>
      </c>
      <c r="B33" s="1198"/>
      <c r="C33" s="1199"/>
      <c r="D33" s="1200"/>
      <c r="E33" s="1199"/>
      <c r="F33" s="1200"/>
      <c r="G33" s="1199"/>
      <c r="H33" s="1200"/>
      <c r="I33" s="1199"/>
      <c r="J33" s="1200"/>
      <c r="K33" s="1199"/>
      <c r="L33" s="1200"/>
      <c r="M33" s="1199"/>
      <c r="N33" s="962"/>
      <c r="O33" s="963"/>
      <c r="P33" s="962"/>
      <c r="Q33" s="963"/>
      <c r="R33" s="964"/>
      <c r="S33" s="2749"/>
      <c r="T33" s="4483" t="s">
        <v>469</v>
      </c>
      <c r="U33" s="4484"/>
      <c r="V33" s="4484"/>
      <c r="W33" s="4484"/>
      <c r="X33" s="4484"/>
      <c r="Y33" s="4484"/>
      <c r="Z33" s="4484"/>
      <c r="AA33" s="4484"/>
      <c r="AB33" s="4484"/>
      <c r="AC33" s="4484"/>
      <c r="AD33" s="4485"/>
    </row>
    <row r="34" spans="1:30" s="1180" customFormat="1" ht="13.8" thickBot="1">
      <c r="A34" s="1185"/>
      <c r="B34" s="1198"/>
      <c r="C34" s="1199"/>
      <c r="D34" s="1200"/>
      <c r="E34" s="1199"/>
      <c r="F34" s="1200"/>
      <c r="G34" s="1199"/>
      <c r="H34" s="1200"/>
      <c r="I34" s="1199"/>
      <c r="J34" s="1200"/>
      <c r="K34" s="1199"/>
      <c r="L34" s="1200"/>
      <c r="M34" s="1199"/>
      <c r="N34" s="962"/>
      <c r="O34" s="965"/>
      <c r="P34" s="962"/>
      <c r="Q34" s="965"/>
      <c r="R34" s="964"/>
      <c r="S34" s="2749"/>
      <c r="T34" s="3052">
        <v>2006</v>
      </c>
      <c r="U34" s="3032"/>
      <c r="V34" s="3032">
        <v>2007</v>
      </c>
      <c r="W34" s="3032"/>
      <c r="X34" s="3032">
        <v>2008</v>
      </c>
      <c r="Y34" s="3032"/>
      <c r="Z34" s="3032">
        <v>2009</v>
      </c>
      <c r="AA34" s="3032"/>
      <c r="AB34" s="3032">
        <v>2010</v>
      </c>
      <c r="AC34" s="3032"/>
      <c r="AD34" s="3545">
        <v>2011</v>
      </c>
    </row>
    <row r="35" spans="1:30" s="1180" customFormat="1" ht="13.8" thickBot="1">
      <c r="A35" s="1186" t="s">
        <v>29</v>
      </c>
      <c r="B35" s="1225">
        <v>60</v>
      </c>
      <c r="C35" s="1226"/>
      <c r="D35" s="1227">
        <v>66</v>
      </c>
      <c r="E35" s="1226"/>
      <c r="F35" s="1227">
        <v>72</v>
      </c>
      <c r="G35" s="1226"/>
      <c r="H35" s="1227">
        <v>92</v>
      </c>
      <c r="I35" s="1226"/>
      <c r="J35" s="1227">
        <v>97</v>
      </c>
      <c r="K35" s="1226"/>
      <c r="L35" s="1227">
        <v>143</v>
      </c>
      <c r="M35" s="1202"/>
      <c r="N35" s="966">
        <f>AVERAGE(B35:F35)</f>
        <v>66</v>
      </c>
      <c r="O35" s="967"/>
      <c r="P35" s="966">
        <f>AVERAGE(H35:L35)</f>
        <v>110.66666666666667</v>
      </c>
      <c r="Q35" s="967"/>
      <c r="R35" s="968">
        <f>P35-N35</f>
        <v>44.666666666666671</v>
      </c>
      <c r="S35" s="2749"/>
      <c r="T35" s="3837">
        <v>546</v>
      </c>
      <c r="U35" s="3167"/>
      <c r="V35" s="3167">
        <v>532</v>
      </c>
      <c r="W35" s="3167"/>
      <c r="X35" s="3167">
        <v>568</v>
      </c>
      <c r="Y35" s="3167"/>
      <c r="Z35" s="3167">
        <v>562</v>
      </c>
      <c r="AA35" s="3167"/>
      <c r="AB35" s="3167">
        <v>771</v>
      </c>
      <c r="AC35" s="3167"/>
      <c r="AD35" s="3838">
        <v>943</v>
      </c>
    </row>
    <row r="36" spans="1:30" s="1180" customFormat="1" ht="14.4" thickTop="1" thickBot="1">
      <c r="A36" s="1184" t="s">
        <v>32</v>
      </c>
      <c r="B36" s="1192">
        <f>SUM(B31:B35)</f>
        <v>60</v>
      </c>
      <c r="C36" s="1194"/>
      <c r="D36" s="1193">
        <f>SUM(D31:D35)</f>
        <v>66</v>
      </c>
      <c r="E36" s="1194"/>
      <c r="F36" s="1193">
        <f>SUM(F31:F35)</f>
        <v>72</v>
      </c>
      <c r="G36" s="1194"/>
      <c r="H36" s="1193">
        <f>SUM(H31:H35)</f>
        <v>92</v>
      </c>
      <c r="I36" s="1194"/>
      <c r="J36" s="1193">
        <f>SUM(J31:J35)</f>
        <v>97</v>
      </c>
      <c r="K36" s="1194"/>
      <c r="L36" s="1193">
        <f>SUM(L31:L35)</f>
        <v>143</v>
      </c>
      <c r="M36" s="1194"/>
      <c r="N36" s="969">
        <f>AVERAGE(B36:F36)</f>
        <v>66</v>
      </c>
      <c r="O36" s="970"/>
      <c r="P36" s="969">
        <f>AVERAGE(H36:L36)</f>
        <v>110.66666666666667</v>
      </c>
      <c r="Q36" s="970"/>
      <c r="R36" s="971">
        <f>P36-N36</f>
        <v>44.666666666666671</v>
      </c>
      <c r="S36" s="2749"/>
      <c r="T36" s="3839">
        <f>B36/T35</f>
        <v>0.10989010989010989</v>
      </c>
      <c r="U36" s="3840"/>
      <c r="V36" s="3840">
        <f>D36/V35</f>
        <v>0.12406015037593984</v>
      </c>
      <c r="W36" s="3840"/>
      <c r="X36" s="3840">
        <f>F36/X35</f>
        <v>0.12676056338028169</v>
      </c>
      <c r="Y36" s="3840"/>
      <c r="Z36" s="3840">
        <f>H36/Z35</f>
        <v>0.16370106761565836</v>
      </c>
      <c r="AA36" s="3840"/>
      <c r="AB36" s="3840">
        <f>J36/AB35</f>
        <v>0.12581063553826199</v>
      </c>
      <c r="AC36" s="3840"/>
      <c r="AD36" s="3841">
        <f>L36/AD35</f>
        <v>0.15164369034994699</v>
      </c>
    </row>
    <row r="37" spans="1:30" s="1204" customFormat="1" ht="13.8" thickBot="1">
      <c r="A37" s="1207"/>
      <c r="F37" s="1205"/>
      <c r="N37" s="957"/>
      <c r="O37" s="957"/>
      <c r="P37" s="957"/>
      <c r="Q37" s="957"/>
      <c r="R37" s="957"/>
      <c r="S37" s="2749"/>
      <c r="T37" s="3170"/>
      <c r="U37" s="3170"/>
      <c r="V37" s="3170"/>
      <c r="W37" s="3170"/>
      <c r="X37" s="3170"/>
      <c r="Y37" s="3170"/>
      <c r="Z37" s="3170"/>
      <c r="AA37" s="3170"/>
      <c r="AB37" s="3170"/>
      <c r="AC37" s="3170"/>
      <c r="AD37" s="3170"/>
    </row>
    <row r="38" spans="1:30" s="1206" customFormat="1" ht="27" customHeight="1" thickBot="1">
      <c r="A38" s="442" t="s">
        <v>176</v>
      </c>
      <c r="B38" s="1212" t="s">
        <v>2</v>
      </c>
      <c r="C38" s="1213"/>
      <c r="D38" s="1214" t="s">
        <v>3</v>
      </c>
      <c r="E38" s="1213"/>
      <c r="F38" s="1215" t="s">
        <v>4</v>
      </c>
      <c r="G38" s="1213"/>
      <c r="H38" s="1211" t="s">
        <v>5</v>
      </c>
      <c r="I38" s="1213"/>
      <c r="J38" s="1211" t="s">
        <v>6</v>
      </c>
      <c r="K38" s="1213"/>
      <c r="L38" s="1211" t="s">
        <v>7</v>
      </c>
      <c r="M38" s="1213"/>
      <c r="N38" s="959" t="s">
        <v>33</v>
      </c>
      <c r="O38" s="960"/>
      <c r="P38" s="959" t="s">
        <v>34</v>
      </c>
      <c r="Q38" s="960"/>
      <c r="R38" s="961" t="s">
        <v>35</v>
      </c>
      <c r="S38" s="3239"/>
      <c r="T38" s="3767"/>
      <c r="U38" s="3767"/>
      <c r="V38" s="3767"/>
      <c r="W38" s="3767"/>
      <c r="X38" s="3767"/>
      <c r="Y38" s="3767"/>
      <c r="Z38" s="3767"/>
      <c r="AA38" s="3767"/>
      <c r="AB38" s="3767"/>
      <c r="AC38" s="3767"/>
      <c r="AD38" s="3767"/>
    </row>
    <row r="39" spans="1:30" s="1204" customFormat="1">
      <c r="A39" s="1209" t="s">
        <v>28</v>
      </c>
      <c r="B39" s="1219"/>
      <c r="C39" s="1220"/>
      <c r="D39" s="1221"/>
      <c r="E39" s="1220"/>
      <c r="F39" s="1221"/>
      <c r="G39" s="1220"/>
      <c r="H39" s="1221"/>
      <c r="I39" s="1220"/>
      <c r="J39" s="1221"/>
      <c r="K39" s="1220"/>
      <c r="L39" s="1221"/>
      <c r="M39" s="1220"/>
      <c r="N39" s="962"/>
      <c r="O39" s="963"/>
      <c r="P39" s="962"/>
      <c r="Q39" s="963"/>
      <c r="R39" s="964"/>
      <c r="S39" s="2749"/>
      <c r="T39" s="3170"/>
      <c r="U39" s="3170"/>
      <c r="V39" s="3170"/>
      <c r="W39" s="3170"/>
      <c r="X39" s="3170"/>
      <c r="Y39" s="3170"/>
      <c r="Z39" s="3170"/>
      <c r="AA39" s="3170"/>
      <c r="AB39" s="3170"/>
      <c r="AC39" s="3170"/>
      <c r="AD39" s="3170"/>
    </row>
    <row r="40" spans="1:30" s="1204" customFormat="1" ht="13.8" thickBot="1">
      <c r="A40" s="1209"/>
      <c r="B40" s="1219"/>
      <c r="C40" s="1220"/>
      <c r="D40" s="1221"/>
      <c r="E40" s="1220"/>
      <c r="F40" s="1221"/>
      <c r="G40" s="1220"/>
      <c r="H40" s="1221"/>
      <c r="I40" s="1220"/>
      <c r="J40" s="1221"/>
      <c r="K40" s="1220"/>
      <c r="L40" s="1221"/>
      <c r="M40" s="1220"/>
      <c r="N40" s="962"/>
      <c r="O40" s="963"/>
      <c r="P40" s="962"/>
      <c r="Q40" s="963"/>
      <c r="R40" s="964"/>
      <c r="S40" s="2749"/>
      <c r="T40" s="3170"/>
      <c r="U40" s="3170"/>
      <c r="V40" s="3170"/>
      <c r="W40" s="3170"/>
      <c r="X40" s="3170"/>
      <c r="Y40" s="3170"/>
      <c r="Z40" s="3170"/>
      <c r="AA40" s="3170"/>
      <c r="AB40" s="3170"/>
      <c r="AC40" s="3170"/>
      <c r="AD40" s="3170"/>
    </row>
    <row r="41" spans="1:30" s="1204" customFormat="1">
      <c r="A41" s="1209" t="s">
        <v>65</v>
      </c>
      <c r="B41" s="1222"/>
      <c r="C41" s="1223"/>
      <c r="D41" s="1224"/>
      <c r="E41" s="1223"/>
      <c r="F41" s="1224"/>
      <c r="G41" s="1223"/>
      <c r="H41" s="1224"/>
      <c r="I41" s="1223"/>
      <c r="J41" s="1224"/>
      <c r="K41" s="1223"/>
      <c r="L41" s="1224"/>
      <c r="M41" s="1223"/>
      <c r="N41" s="962"/>
      <c r="O41" s="963"/>
      <c r="P41" s="962"/>
      <c r="Q41" s="963"/>
      <c r="R41" s="964"/>
      <c r="S41" s="2749"/>
      <c r="T41" s="4483" t="s">
        <v>469</v>
      </c>
      <c r="U41" s="4484"/>
      <c r="V41" s="4484"/>
      <c r="W41" s="4484"/>
      <c r="X41" s="4484"/>
      <c r="Y41" s="4484"/>
      <c r="Z41" s="4484"/>
      <c r="AA41" s="4484"/>
      <c r="AB41" s="4484"/>
      <c r="AC41" s="4484"/>
      <c r="AD41" s="4485"/>
    </row>
    <row r="42" spans="1:30" s="1204" customFormat="1" ht="13.8" thickBot="1">
      <c r="A42" s="1209"/>
      <c r="B42" s="1222"/>
      <c r="C42" s="1223"/>
      <c r="D42" s="1224"/>
      <c r="E42" s="1223"/>
      <c r="F42" s="1224"/>
      <c r="G42" s="1223"/>
      <c r="H42" s="1224"/>
      <c r="I42" s="1223"/>
      <c r="J42" s="1224"/>
      <c r="K42" s="1223"/>
      <c r="L42" s="1224"/>
      <c r="M42" s="1223"/>
      <c r="N42" s="962"/>
      <c r="O42" s="965"/>
      <c r="P42" s="962"/>
      <c r="Q42" s="965"/>
      <c r="R42" s="964"/>
      <c r="S42" s="2749"/>
      <c r="T42" s="3052">
        <v>2006</v>
      </c>
      <c r="U42" s="3032"/>
      <c r="V42" s="3032">
        <v>2007</v>
      </c>
      <c r="W42" s="3032"/>
      <c r="X42" s="3032">
        <v>2008</v>
      </c>
      <c r="Y42" s="3032"/>
      <c r="Z42" s="3032">
        <v>2009</v>
      </c>
      <c r="AA42" s="3032"/>
      <c r="AB42" s="3032">
        <v>2010</v>
      </c>
      <c r="AC42" s="3032"/>
      <c r="AD42" s="3545">
        <v>2011</v>
      </c>
    </row>
    <row r="43" spans="1:30" s="1204" customFormat="1" ht="13.8" thickBot="1">
      <c r="A43" s="1210" t="s">
        <v>29</v>
      </c>
      <c r="B43" s="1249">
        <v>66</v>
      </c>
      <c r="C43" s="1250"/>
      <c r="D43" s="1251">
        <v>112</v>
      </c>
      <c r="E43" s="1250"/>
      <c r="F43" s="1251">
        <v>86</v>
      </c>
      <c r="G43" s="1250"/>
      <c r="H43" s="1251">
        <v>85</v>
      </c>
      <c r="I43" s="1250"/>
      <c r="J43" s="1251">
        <v>136</v>
      </c>
      <c r="K43" s="1250"/>
      <c r="L43" s="1251">
        <v>164</v>
      </c>
      <c r="M43" s="1226"/>
      <c r="N43" s="966">
        <f>AVERAGE(B43:F43)</f>
        <v>88</v>
      </c>
      <c r="O43" s="967"/>
      <c r="P43" s="966">
        <f>AVERAGE(H43:L43)</f>
        <v>128.33333333333334</v>
      </c>
      <c r="Q43" s="967"/>
      <c r="R43" s="968">
        <f>P43-N43</f>
        <v>40.333333333333343</v>
      </c>
      <c r="S43" s="2749"/>
      <c r="T43" s="3837">
        <v>1130</v>
      </c>
      <c r="U43" s="3167"/>
      <c r="V43" s="3167">
        <v>1146</v>
      </c>
      <c r="W43" s="3167"/>
      <c r="X43" s="3167">
        <v>1168</v>
      </c>
      <c r="Y43" s="3167"/>
      <c r="Z43" s="3167">
        <v>1241</v>
      </c>
      <c r="AA43" s="3167"/>
      <c r="AB43" s="3167">
        <v>1666</v>
      </c>
      <c r="AC43" s="3167"/>
      <c r="AD43" s="3838">
        <v>2047</v>
      </c>
    </row>
    <row r="44" spans="1:30" s="1204" customFormat="1" ht="14.4" thickTop="1" thickBot="1">
      <c r="A44" s="1208" t="s">
        <v>32</v>
      </c>
      <c r="B44" s="1216">
        <f>SUM(B39:B43)</f>
        <v>66</v>
      </c>
      <c r="C44" s="1218"/>
      <c r="D44" s="1217">
        <f>SUM(D39:D43)</f>
        <v>112</v>
      </c>
      <c r="E44" s="1218"/>
      <c r="F44" s="1217">
        <f>SUM(F39:F43)</f>
        <v>86</v>
      </c>
      <c r="G44" s="1218"/>
      <c r="H44" s="1217">
        <f>SUM(H39:H43)</f>
        <v>85</v>
      </c>
      <c r="I44" s="1218"/>
      <c r="J44" s="1217">
        <f>SUM(J39:J43)</f>
        <v>136</v>
      </c>
      <c r="K44" s="1218"/>
      <c r="L44" s="1217">
        <f>SUM(L39:L43)</f>
        <v>164</v>
      </c>
      <c r="M44" s="1218"/>
      <c r="N44" s="969">
        <f>AVERAGE(B44:F44)</f>
        <v>88</v>
      </c>
      <c r="O44" s="970"/>
      <c r="P44" s="969">
        <f>AVERAGE(H44:L44)</f>
        <v>128.33333333333334</v>
      </c>
      <c r="Q44" s="970"/>
      <c r="R44" s="971">
        <f>P44-N44</f>
        <v>40.333333333333343</v>
      </c>
      <c r="S44" s="2749"/>
      <c r="T44" s="3839">
        <f>B44/T43</f>
        <v>5.8407079646017698E-2</v>
      </c>
      <c r="U44" s="3840"/>
      <c r="V44" s="3840">
        <f>D44/V43</f>
        <v>9.7731239092495634E-2</v>
      </c>
      <c r="W44" s="3840"/>
      <c r="X44" s="3840">
        <f>F44/X43</f>
        <v>7.3630136986301373E-2</v>
      </c>
      <c r="Y44" s="3840"/>
      <c r="Z44" s="3840">
        <f>H44/Z43</f>
        <v>6.8493150684931503E-2</v>
      </c>
      <c r="AA44" s="3840"/>
      <c r="AB44" s="3840">
        <f>J44/AB43</f>
        <v>8.1632653061224483E-2</v>
      </c>
      <c r="AC44" s="3840"/>
      <c r="AD44" s="3841">
        <f>L44/AD43</f>
        <v>8.0117244748412308E-2</v>
      </c>
    </row>
    <row r="45" spans="1:30" s="1228" customFormat="1" ht="13.8" thickBot="1">
      <c r="A45" s="1231"/>
      <c r="F45" s="1229"/>
      <c r="N45" s="957"/>
      <c r="O45" s="957"/>
      <c r="P45" s="957"/>
      <c r="Q45" s="957"/>
      <c r="R45" s="957"/>
      <c r="S45" s="2749"/>
      <c r="T45" s="3170"/>
      <c r="U45" s="3170"/>
      <c r="V45" s="3170"/>
      <c r="W45" s="3170"/>
      <c r="X45" s="3170"/>
      <c r="Y45" s="3170"/>
      <c r="Z45" s="3170"/>
      <c r="AA45" s="3170"/>
      <c r="AB45" s="3170"/>
      <c r="AC45" s="3170"/>
      <c r="AD45" s="3170"/>
    </row>
    <row r="46" spans="1:30" s="1230" customFormat="1" ht="27" customHeight="1" thickBot="1">
      <c r="A46" s="442" t="s">
        <v>177</v>
      </c>
      <c r="B46" s="1236" t="s">
        <v>2</v>
      </c>
      <c r="C46" s="1237"/>
      <c r="D46" s="1238" t="s">
        <v>3</v>
      </c>
      <c r="E46" s="1237"/>
      <c r="F46" s="1239" t="s">
        <v>4</v>
      </c>
      <c r="G46" s="1237"/>
      <c r="H46" s="1235" t="s">
        <v>5</v>
      </c>
      <c r="I46" s="1237"/>
      <c r="J46" s="1235" t="s">
        <v>6</v>
      </c>
      <c r="K46" s="1237"/>
      <c r="L46" s="1235" t="s">
        <v>7</v>
      </c>
      <c r="M46" s="1237"/>
      <c r="N46" s="959" t="s">
        <v>33</v>
      </c>
      <c r="O46" s="960"/>
      <c r="P46" s="959" t="s">
        <v>34</v>
      </c>
      <c r="Q46" s="960"/>
      <c r="R46" s="961" t="s">
        <v>35</v>
      </c>
      <c r="S46" s="3239"/>
      <c r="T46" s="3767"/>
      <c r="U46" s="3767"/>
      <c r="V46" s="3767"/>
      <c r="W46" s="3767"/>
      <c r="X46" s="3767"/>
      <c r="Y46" s="3767"/>
      <c r="Z46" s="3767"/>
      <c r="AA46" s="3767"/>
      <c r="AB46" s="3767"/>
      <c r="AC46" s="3767"/>
      <c r="AD46" s="3767"/>
    </row>
    <row r="47" spans="1:30" s="1228" customFormat="1">
      <c r="A47" s="1233" t="s">
        <v>28</v>
      </c>
      <c r="B47" s="1243"/>
      <c r="C47" s="1244"/>
      <c r="D47" s="1245"/>
      <c r="E47" s="1244"/>
      <c r="F47" s="1245"/>
      <c r="G47" s="1244"/>
      <c r="H47" s="1245"/>
      <c r="I47" s="1244"/>
      <c r="J47" s="1245"/>
      <c r="K47" s="1244"/>
      <c r="L47" s="1245"/>
      <c r="M47" s="1244"/>
      <c r="N47" s="962"/>
      <c r="O47" s="963"/>
      <c r="P47" s="962"/>
      <c r="Q47" s="963"/>
      <c r="R47" s="964"/>
      <c r="S47" s="2749"/>
      <c r="T47" s="3170"/>
      <c r="U47" s="3170"/>
      <c r="V47" s="3170"/>
      <c r="W47" s="3170"/>
      <c r="X47" s="3170"/>
      <c r="Y47" s="3170"/>
      <c r="Z47" s="3170"/>
      <c r="AA47" s="3170"/>
      <c r="AB47" s="3170"/>
      <c r="AC47" s="3170"/>
      <c r="AD47" s="3170"/>
    </row>
    <row r="48" spans="1:30" s="1228" customFormat="1" ht="13.8" thickBot="1">
      <c r="A48" s="1233"/>
      <c r="B48" s="1243"/>
      <c r="C48" s="1244"/>
      <c r="D48" s="1245"/>
      <c r="E48" s="1244"/>
      <c r="F48" s="1245"/>
      <c r="G48" s="1244"/>
      <c r="H48" s="1245"/>
      <c r="I48" s="1244"/>
      <c r="J48" s="1245"/>
      <c r="K48" s="1244"/>
      <c r="L48" s="1245"/>
      <c r="M48" s="1244"/>
      <c r="N48" s="962"/>
      <c r="O48" s="963"/>
      <c r="P48" s="962"/>
      <c r="Q48" s="963"/>
      <c r="R48" s="964"/>
      <c r="S48" s="2749"/>
      <c r="T48" s="3170"/>
      <c r="U48" s="3170"/>
      <c r="V48" s="3170"/>
      <c r="W48" s="3170"/>
      <c r="X48" s="3170"/>
      <c r="Y48" s="3170"/>
      <c r="Z48" s="3170"/>
      <c r="AA48" s="3170"/>
      <c r="AB48" s="3170"/>
      <c r="AC48" s="3170"/>
      <c r="AD48" s="3170"/>
    </row>
    <row r="49" spans="1:30" s="1228" customFormat="1">
      <c r="A49" s="1233" t="s">
        <v>65</v>
      </c>
      <c r="B49" s="1246"/>
      <c r="C49" s="1247"/>
      <c r="D49" s="1248"/>
      <c r="E49" s="1247"/>
      <c r="F49" s="1248"/>
      <c r="G49" s="1247"/>
      <c r="H49" s="1248"/>
      <c r="I49" s="1247"/>
      <c r="J49" s="1248"/>
      <c r="K49" s="1247"/>
      <c r="L49" s="1248"/>
      <c r="M49" s="1247"/>
      <c r="N49" s="962"/>
      <c r="O49" s="963"/>
      <c r="P49" s="962"/>
      <c r="Q49" s="963"/>
      <c r="R49" s="964"/>
      <c r="S49" s="2749"/>
      <c r="T49" s="4483" t="s">
        <v>469</v>
      </c>
      <c r="U49" s="4484"/>
      <c r="V49" s="4484"/>
      <c r="W49" s="4484"/>
      <c r="X49" s="4484"/>
      <c r="Y49" s="4484"/>
      <c r="Z49" s="4484"/>
      <c r="AA49" s="4484"/>
      <c r="AB49" s="4484"/>
      <c r="AC49" s="4484"/>
      <c r="AD49" s="4485"/>
    </row>
    <row r="50" spans="1:30" s="1228" customFormat="1" ht="13.8" thickBot="1">
      <c r="A50" s="1233"/>
      <c r="B50" s="1246"/>
      <c r="C50" s="1247"/>
      <c r="D50" s="1248"/>
      <c r="E50" s="1247"/>
      <c r="F50" s="1248"/>
      <c r="G50" s="1247"/>
      <c r="H50" s="1248"/>
      <c r="I50" s="1247"/>
      <c r="J50" s="1248"/>
      <c r="K50" s="1247"/>
      <c r="L50" s="1248"/>
      <c r="M50" s="1247"/>
      <c r="N50" s="962"/>
      <c r="O50" s="965"/>
      <c r="P50" s="962"/>
      <c r="Q50" s="965"/>
      <c r="R50" s="964"/>
      <c r="S50" s="2749"/>
      <c r="T50" s="3052">
        <v>2006</v>
      </c>
      <c r="U50" s="3032"/>
      <c r="V50" s="3032">
        <v>2007</v>
      </c>
      <c r="W50" s="3032"/>
      <c r="X50" s="3032">
        <v>2008</v>
      </c>
      <c r="Y50" s="3032"/>
      <c r="Z50" s="3032">
        <v>2009</v>
      </c>
      <c r="AA50" s="3032"/>
      <c r="AB50" s="3032">
        <v>2010</v>
      </c>
      <c r="AC50" s="3032"/>
      <c r="AD50" s="3545">
        <v>2011</v>
      </c>
    </row>
    <row r="51" spans="1:30" s="1228" customFormat="1" ht="13.8" thickBot="1">
      <c r="A51" s="1234" t="s">
        <v>29</v>
      </c>
      <c r="B51" s="1273">
        <v>184</v>
      </c>
      <c r="C51" s="1274"/>
      <c r="D51" s="1275">
        <v>117</v>
      </c>
      <c r="E51" s="1274"/>
      <c r="F51" s="1275">
        <v>132</v>
      </c>
      <c r="G51" s="1274"/>
      <c r="H51" s="1275">
        <v>187</v>
      </c>
      <c r="I51" s="1274"/>
      <c r="J51" s="1275">
        <v>201</v>
      </c>
      <c r="K51" s="1274"/>
      <c r="L51" s="1275">
        <v>206</v>
      </c>
      <c r="M51" s="1250"/>
      <c r="N51" s="966">
        <f>AVERAGE(B51:F51)</f>
        <v>144.33333333333334</v>
      </c>
      <c r="O51" s="967"/>
      <c r="P51" s="966">
        <f>AVERAGE(H51:L51)</f>
        <v>198</v>
      </c>
      <c r="Q51" s="967"/>
      <c r="R51" s="968">
        <f>P51-N51</f>
        <v>53.666666666666657</v>
      </c>
      <c r="S51" s="2749"/>
      <c r="T51" s="3837">
        <v>1365</v>
      </c>
      <c r="U51" s="3167"/>
      <c r="V51" s="3167">
        <v>1330</v>
      </c>
      <c r="W51" s="3167"/>
      <c r="X51" s="3167">
        <v>1411</v>
      </c>
      <c r="Y51" s="3167"/>
      <c r="Z51" s="3167">
        <v>1619</v>
      </c>
      <c r="AA51" s="3167"/>
      <c r="AB51" s="3167">
        <v>2180</v>
      </c>
      <c r="AC51" s="3167"/>
      <c r="AD51" s="3838">
        <v>2564</v>
      </c>
    </row>
    <row r="52" spans="1:30" s="1228" customFormat="1" ht="14.4" thickTop="1" thickBot="1">
      <c r="A52" s="1232" t="s">
        <v>32</v>
      </c>
      <c r="B52" s="1240">
        <f>SUM(B47:B51)</f>
        <v>184</v>
      </c>
      <c r="C52" s="1242"/>
      <c r="D52" s="1241">
        <f>SUM(D47:D51)</f>
        <v>117</v>
      </c>
      <c r="E52" s="1242"/>
      <c r="F52" s="1241">
        <f>SUM(F47:F51)</f>
        <v>132</v>
      </c>
      <c r="G52" s="1242"/>
      <c r="H52" s="1241">
        <f>SUM(H47:H51)</f>
        <v>187</v>
      </c>
      <c r="I52" s="1242"/>
      <c r="J52" s="1241">
        <f>SUM(J47:J51)</f>
        <v>201</v>
      </c>
      <c r="K52" s="1242"/>
      <c r="L52" s="1241">
        <f>SUM(L47:L51)</f>
        <v>206</v>
      </c>
      <c r="M52" s="1242"/>
      <c r="N52" s="969">
        <f>AVERAGE(B52:F52)</f>
        <v>144.33333333333334</v>
      </c>
      <c r="O52" s="970"/>
      <c r="P52" s="969">
        <f>AVERAGE(H52:L52)</f>
        <v>198</v>
      </c>
      <c r="Q52" s="970"/>
      <c r="R52" s="971">
        <f>P52-N52</f>
        <v>53.666666666666657</v>
      </c>
      <c r="S52" s="2749"/>
      <c r="T52" s="3839">
        <f>B52/T51</f>
        <v>0.13479853479853479</v>
      </c>
      <c r="U52" s="3840"/>
      <c r="V52" s="3840">
        <f>D52/V51</f>
        <v>8.7969924812030073E-2</v>
      </c>
      <c r="W52" s="3840"/>
      <c r="X52" s="3840">
        <f>F52/X51</f>
        <v>9.3550673281360741E-2</v>
      </c>
      <c r="Y52" s="3840"/>
      <c r="Z52" s="3840">
        <f>H52/Z51</f>
        <v>0.11550339715873996</v>
      </c>
      <c r="AA52" s="3840"/>
      <c r="AB52" s="3840">
        <f>J52/AB51</f>
        <v>9.2201834862385326E-2</v>
      </c>
      <c r="AC52" s="3840"/>
      <c r="AD52" s="3841">
        <f>L52/AD51</f>
        <v>8.0343213728549148E-2</v>
      </c>
    </row>
    <row r="53" spans="1:30" s="1112" customFormat="1" ht="13.8" thickBot="1">
      <c r="A53" s="1115"/>
      <c r="F53" s="1113"/>
      <c r="N53" s="957"/>
      <c r="O53" s="957"/>
      <c r="P53" s="957"/>
      <c r="Q53" s="957"/>
      <c r="R53" s="957"/>
      <c r="S53" s="2749"/>
      <c r="T53" s="3170"/>
      <c r="U53" s="3170"/>
      <c r="V53" s="3170"/>
      <c r="W53" s="3170"/>
      <c r="X53" s="3170"/>
      <c r="Y53" s="3170"/>
      <c r="Z53" s="3170"/>
      <c r="AA53" s="3170"/>
      <c r="AB53" s="3170"/>
      <c r="AC53" s="3170"/>
      <c r="AD53" s="3170"/>
    </row>
    <row r="54" spans="1:30" s="1254" customFormat="1" ht="27" customHeight="1" thickBot="1">
      <c r="A54" s="442" t="s">
        <v>178</v>
      </c>
      <c r="B54" s="1260" t="s">
        <v>2</v>
      </c>
      <c r="C54" s="1261"/>
      <c r="D54" s="1262" t="s">
        <v>3</v>
      </c>
      <c r="E54" s="1261"/>
      <c r="F54" s="1263" t="s">
        <v>4</v>
      </c>
      <c r="G54" s="1261"/>
      <c r="H54" s="1259" t="s">
        <v>5</v>
      </c>
      <c r="I54" s="1261"/>
      <c r="J54" s="1259" t="s">
        <v>6</v>
      </c>
      <c r="K54" s="1261"/>
      <c r="L54" s="1259" t="s">
        <v>7</v>
      </c>
      <c r="M54" s="1261"/>
      <c r="N54" s="959" t="s">
        <v>33</v>
      </c>
      <c r="O54" s="960"/>
      <c r="P54" s="959" t="s">
        <v>34</v>
      </c>
      <c r="Q54" s="960"/>
      <c r="R54" s="961" t="s">
        <v>35</v>
      </c>
      <c r="S54" s="3239"/>
      <c r="T54" s="3767"/>
      <c r="U54" s="3767"/>
      <c r="V54" s="3767"/>
      <c r="W54" s="3767"/>
      <c r="X54" s="3767"/>
      <c r="Y54" s="3767"/>
      <c r="Z54" s="3767"/>
      <c r="AA54" s="3767"/>
      <c r="AB54" s="3767"/>
      <c r="AC54" s="3767"/>
      <c r="AD54" s="3767"/>
    </row>
    <row r="55" spans="1:30" s="1252" customFormat="1">
      <c r="A55" s="1257" t="s">
        <v>28</v>
      </c>
      <c r="B55" s="1267"/>
      <c r="C55" s="1268"/>
      <c r="D55" s="1269"/>
      <c r="E55" s="1268"/>
      <c r="F55" s="1269"/>
      <c r="G55" s="1268"/>
      <c r="H55" s="1269"/>
      <c r="I55" s="1268"/>
      <c r="J55" s="1269"/>
      <c r="K55" s="1268"/>
      <c r="L55" s="1269"/>
      <c r="M55" s="1268"/>
      <c r="N55" s="962"/>
      <c r="O55" s="963"/>
      <c r="P55" s="962"/>
      <c r="Q55" s="963"/>
      <c r="R55" s="964"/>
      <c r="S55" s="2749"/>
      <c r="T55" s="3170"/>
      <c r="U55" s="3170"/>
      <c r="V55" s="3170"/>
      <c r="W55" s="3170"/>
      <c r="X55" s="3170"/>
      <c r="Y55" s="3170"/>
      <c r="Z55" s="3170"/>
      <c r="AA55" s="3170"/>
      <c r="AB55" s="3170"/>
      <c r="AC55" s="3170"/>
      <c r="AD55" s="3170"/>
    </row>
    <row r="56" spans="1:30" s="1252" customFormat="1" ht="13.8" thickBot="1">
      <c r="A56" s="1257"/>
      <c r="B56" s="1267"/>
      <c r="C56" s="1268"/>
      <c r="D56" s="1269"/>
      <c r="E56" s="1268"/>
      <c r="F56" s="1269"/>
      <c r="G56" s="1268"/>
      <c r="H56" s="1269"/>
      <c r="I56" s="1268"/>
      <c r="J56" s="1269"/>
      <c r="K56" s="1268"/>
      <c r="L56" s="1269"/>
      <c r="M56" s="1268"/>
      <c r="N56" s="962"/>
      <c r="O56" s="963"/>
      <c r="P56" s="962"/>
      <c r="Q56" s="963"/>
      <c r="R56" s="964"/>
      <c r="S56" s="2749"/>
      <c r="T56" s="3170"/>
      <c r="U56" s="3170"/>
      <c r="V56" s="3170"/>
      <c r="W56" s="3170"/>
      <c r="X56" s="3170"/>
      <c r="Y56" s="3170"/>
      <c r="Z56" s="3170"/>
      <c r="AA56" s="3170"/>
      <c r="AB56" s="3170"/>
      <c r="AC56" s="3170"/>
      <c r="AD56" s="3170"/>
    </row>
    <row r="57" spans="1:30" s="1252" customFormat="1">
      <c r="A57" s="1257" t="s">
        <v>65</v>
      </c>
      <c r="B57" s="1270"/>
      <c r="C57" s="1271"/>
      <c r="D57" s="1272"/>
      <c r="E57" s="1271"/>
      <c r="F57" s="1272"/>
      <c r="G57" s="1271"/>
      <c r="H57" s="1272"/>
      <c r="I57" s="1271"/>
      <c r="J57" s="1272"/>
      <c r="K57" s="1271"/>
      <c r="L57" s="1272"/>
      <c r="M57" s="1271"/>
      <c r="N57" s="962"/>
      <c r="O57" s="963"/>
      <c r="P57" s="962"/>
      <c r="Q57" s="963"/>
      <c r="R57" s="964"/>
      <c r="S57" s="2749"/>
      <c r="T57" s="4483" t="s">
        <v>469</v>
      </c>
      <c r="U57" s="4484"/>
      <c r="V57" s="4484"/>
      <c r="W57" s="4484"/>
      <c r="X57" s="4484"/>
      <c r="Y57" s="4484"/>
      <c r="Z57" s="4484"/>
      <c r="AA57" s="4484"/>
      <c r="AB57" s="4484"/>
      <c r="AC57" s="4484"/>
      <c r="AD57" s="4485"/>
    </row>
    <row r="58" spans="1:30" s="1252" customFormat="1" ht="13.8" thickBot="1">
      <c r="A58" s="1257"/>
      <c r="B58" s="1270"/>
      <c r="C58" s="1271"/>
      <c r="D58" s="1272"/>
      <c r="E58" s="1271"/>
      <c r="F58" s="1272"/>
      <c r="G58" s="1271"/>
      <c r="H58" s="1272"/>
      <c r="I58" s="1271"/>
      <c r="J58" s="1272"/>
      <c r="K58" s="1271"/>
      <c r="L58" s="1272"/>
      <c r="M58" s="1271"/>
      <c r="N58" s="962"/>
      <c r="O58" s="965"/>
      <c r="P58" s="962"/>
      <c r="Q58" s="965"/>
      <c r="R58" s="964"/>
      <c r="S58" s="2749"/>
      <c r="T58" s="3052">
        <v>2006</v>
      </c>
      <c r="U58" s="3032"/>
      <c r="V58" s="3032">
        <v>2007</v>
      </c>
      <c r="W58" s="3032"/>
      <c r="X58" s="3032">
        <v>2008</v>
      </c>
      <c r="Y58" s="3032"/>
      <c r="Z58" s="3032">
        <v>2009</v>
      </c>
      <c r="AA58" s="3032"/>
      <c r="AB58" s="3032">
        <v>2010</v>
      </c>
      <c r="AC58" s="3032"/>
      <c r="AD58" s="3545">
        <v>2011</v>
      </c>
    </row>
    <row r="59" spans="1:30" s="1252" customFormat="1" ht="13.8" thickBot="1">
      <c r="A59" s="1258" t="s">
        <v>29</v>
      </c>
      <c r="B59" s="1297">
        <v>89</v>
      </c>
      <c r="C59" s="1298"/>
      <c r="D59" s="1299">
        <v>90</v>
      </c>
      <c r="E59" s="1298"/>
      <c r="F59" s="1299">
        <v>92</v>
      </c>
      <c r="G59" s="1298"/>
      <c r="H59" s="1299">
        <v>92</v>
      </c>
      <c r="I59" s="1298"/>
      <c r="J59" s="1299">
        <v>104</v>
      </c>
      <c r="K59" s="1298"/>
      <c r="L59" s="1299">
        <v>169</v>
      </c>
      <c r="M59" s="1274"/>
      <c r="N59" s="966">
        <f>AVERAGE(B59:F59)</f>
        <v>90.333333333333329</v>
      </c>
      <c r="O59" s="967"/>
      <c r="P59" s="966">
        <f>AVERAGE(H59:L59)</f>
        <v>121.66666666666667</v>
      </c>
      <c r="Q59" s="967"/>
      <c r="R59" s="968">
        <f>P59-N59</f>
        <v>31.333333333333343</v>
      </c>
      <c r="S59" s="2749"/>
      <c r="T59" s="3837">
        <v>812</v>
      </c>
      <c r="U59" s="3167"/>
      <c r="V59" s="3167">
        <v>820</v>
      </c>
      <c r="W59" s="3167"/>
      <c r="X59" s="3167">
        <v>892</v>
      </c>
      <c r="Y59" s="3167"/>
      <c r="Z59" s="3167">
        <v>979</v>
      </c>
      <c r="AA59" s="3167"/>
      <c r="AB59" s="3167">
        <v>1311</v>
      </c>
      <c r="AC59" s="3167"/>
      <c r="AD59" s="3838">
        <v>1568</v>
      </c>
    </row>
    <row r="60" spans="1:30" s="1252" customFormat="1" ht="14.4" thickTop="1" thickBot="1">
      <c r="A60" s="1256" t="s">
        <v>32</v>
      </c>
      <c r="B60" s="1264">
        <f>SUM(B55:B59)</f>
        <v>89</v>
      </c>
      <c r="C60" s="1266"/>
      <c r="D60" s="1265">
        <f>SUM(D55:D59)</f>
        <v>90</v>
      </c>
      <c r="E60" s="1266"/>
      <c r="F60" s="1265">
        <f>SUM(F55:F59)</f>
        <v>92</v>
      </c>
      <c r="G60" s="1266"/>
      <c r="H60" s="1265">
        <f>SUM(H55:H59)</f>
        <v>92</v>
      </c>
      <c r="I60" s="1266"/>
      <c r="J60" s="1265">
        <f>SUM(J55:J59)</f>
        <v>104</v>
      </c>
      <c r="K60" s="1266"/>
      <c r="L60" s="1265">
        <f>SUM(L55:L59)</f>
        <v>169</v>
      </c>
      <c r="M60" s="1266"/>
      <c r="N60" s="969">
        <f>AVERAGE(B60:F60)</f>
        <v>90.333333333333329</v>
      </c>
      <c r="O60" s="970"/>
      <c r="P60" s="969">
        <f>AVERAGE(H60:L60)</f>
        <v>121.66666666666667</v>
      </c>
      <c r="Q60" s="970"/>
      <c r="R60" s="971">
        <f>P60-N60</f>
        <v>31.333333333333343</v>
      </c>
      <c r="S60" s="2749"/>
      <c r="T60" s="3839">
        <f>B60/T59</f>
        <v>0.10960591133004927</v>
      </c>
      <c r="U60" s="3840"/>
      <c r="V60" s="3840">
        <f>D60/V59</f>
        <v>0.10975609756097561</v>
      </c>
      <c r="W60" s="3840"/>
      <c r="X60" s="3840">
        <f>F60/X59</f>
        <v>0.1031390134529148</v>
      </c>
      <c r="Y60" s="3840"/>
      <c r="Z60" s="3840">
        <f>H60/Z59</f>
        <v>9.3973442288049033E-2</v>
      </c>
      <c r="AA60" s="3840"/>
      <c r="AB60" s="3840">
        <f>J60/AB59</f>
        <v>7.9328756674294426E-2</v>
      </c>
      <c r="AC60" s="3840"/>
      <c r="AD60" s="3841">
        <f>L60/AD59</f>
        <v>0.10778061224489796</v>
      </c>
    </row>
    <row r="61" spans="1:30" s="1276" customFormat="1" ht="13.8" thickBot="1">
      <c r="A61" s="1279"/>
      <c r="F61" s="1277"/>
      <c r="N61" s="957"/>
      <c r="O61" s="957"/>
      <c r="P61" s="957"/>
      <c r="Q61" s="957"/>
      <c r="R61" s="957"/>
      <c r="S61" s="2749"/>
      <c r="T61" s="3170"/>
      <c r="U61" s="3170"/>
      <c r="V61" s="3170"/>
      <c r="W61" s="3170"/>
      <c r="X61" s="3170"/>
      <c r="Y61" s="3170"/>
      <c r="Z61" s="3170"/>
      <c r="AA61" s="3170"/>
      <c r="AB61" s="3170"/>
      <c r="AC61" s="3170"/>
      <c r="AD61" s="3170"/>
    </row>
    <row r="62" spans="1:30" s="1278" customFormat="1" ht="27" customHeight="1" thickBot="1">
      <c r="A62" s="3076" t="s">
        <v>485</v>
      </c>
      <c r="B62" s="1284" t="s">
        <v>2</v>
      </c>
      <c r="C62" s="1285"/>
      <c r="D62" s="1286" t="s">
        <v>3</v>
      </c>
      <c r="E62" s="1285"/>
      <c r="F62" s="1287" t="s">
        <v>4</v>
      </c>
      <c r="G62" s="1285"/>
      <c r="H62" s="1283" t="s">
        <v>5</v>
      </c>
      <c r="I62" s="1285"/>
      <c r="J62" s="1283" t="s">
        <v>6</v>
      </c>
      <c r="K62" s="1285"/>
      <c r="L62" s="1283" t="s">
        <v>7</v>
      </c>
      <c r="M62" s="1285"/>
      <c r="N62" s="959" t="s">
        <v>33</v>
      </c>
      <c r="O62" s="960"/>
      <c r="P62" s="959" t="s">
        <v>34</v>
      </c>
      <c r="Q62" s="960"/>
      <c r="R62" s="961" t="s">
        <v>35</v>
      </c>
      <c r="S62" s="3239"/>
      <c r="T62" s="3767"/>
      <c r="U62" s="3767"/>
      <c r="V62" s="3767"/>
      <c r="W62" s="3767"/>
      <c r="X62" s="3767"/>
      <c r="Y62" s="3767"/>
      <c r="Z62" s="3767"/>
      <c r="AA62" s="3767"/>
      <c r="AB62" s="3767"/>
      <c r="AC62" s="3767"/>
      <c r="AD62" s="3767"/>
    </row>
    <row r="63" spans="1:30" s="1276" customFormat="1">
      <c r="A63" s="1281" t="s">
        <v>28</v>
      </c>
      <c r="B63" s="1291"/>
      <c r="C63" s="1292"/>
      <c r="D63" s="1293"/>
      <c r="E63" s="1292"/>
      <c r="F63" s="1293"/>
      <c r="G63" s="1292"/>
      <c r="H63" s="1293"/>
      <c r="I63" s="1292"/>
      <c r="J63" s="1293"/>
      <c r="K63" s="1292"/>
      <c r="L63" s="1293"/>
      <c r="M63" s="1292"/>
      <c r="N63" s="962"/>
      <c r="O63" s="963"/>
      <c r="P63" s="962"/>
      <c r="Q63" s="963"/>
      <c r="R63" s="964"/>
      <c r="S63" s="2749"/>
      <c r="T63" s="3170"/>
      <c r="U63" s="3170"/>
      <c r="V63" s="3170"/>
      <c r="W63" s="3170"/>
      <c r="X63" s="3170"/>
      <c r="Y63" s="3170"/>
      <c r="Z63" s="3170"/>
      <c r="AA63" s="3170"/>
      <c r="AB63" s="3170"/>
      <c r="AC63" s="3170"/>
      <c r="AD63" s="3170"/>
    </row>
    <row r="64" spans="1:30" s="1276" customFormat="1" ht="13.8" thickBot="1">
      <c r="A64" s="1281"/>
      <c r="B64" s="1291"/>
      <c r="C64" s="1292"/>
      <c r="D64" s="1293"/>
      <c r="E64" s="1292"/>
      <c r="F64" s="1293"/>
      <c r="G64" s="1292"/>
      <c r="H64" s="1293"/>
      <c r="I64" s="1292"/>
      <c r="J64" s="1293"/>
      <c r="K64" s="1292"/>
      <c r="L64" s="1293"/>
      <c r="M64" s="1292"/>
      <c r="N64" s="962"/>
      <c r="O64" s="963"/>
      <c r="P64" s="962"/>
      <c r="Q64" s="963"/>
      <c r="R64" s="964"/>
      <c r="S64" s="2749"/>
      <c r="T64" s="3170"/>
      <c r="U64" s="3170"/>
      <c r="V64" s="3170"/>
      <c r="W64" s="3170"/>
      <c r="X64" s="3170"/>
      <c r="Y64" s="3170"/>
      <c r="Z64" s="3170"/>
      <c r="AA64" s="3170"/>
      <c r="AB64" s="3170"/>
      <c r="AC64" s="3170"/>
      <c r="AD64" s="3170"/>
    </row>
    <row r="65" spans="1:30" s="1276" customFormat="1">
      <c r="A65" s="1281" t="s">
        <v>65</v>
      </c>
      <c r="B65" s="1294"/>
      <c r="C65" s="1295"/>
      <c r="D65" s="1296"/>
      <c r="E65" s="1295"/>
      <c r="F65" s="1296"/>
      <c r="G65" s="1295"/>
      <c r="H65" s="1296"/>
      <c r="I65" s="1295"/>
      <c r="J65" s="1296"/>
      <c r="K65" s="1295"/>
      <c r="L65" s="1296"/>
      <c r="M65" s="1295"/>
      <c r="N65" s="962"/>
      <c r="O65" s="963"/>
      <c r="P65" s="962"/>
      <c r="Q65" s="963"/>
      <c r="R65" s="964"/>
      <c r="S65" s="2749"/>
      <c r="T65" s="4483" t="s">
        <v>469</v>
      </c>
      <c r="U65" s="4484"/>
      <c r="V65" s="4484"/>
      <c r="W65" s="4484"/>
      <c r="X65" s="4484"/>
      <c r="Y65" s="4484"/>
      <c r="Z65" s="4484"/>
      <c r="AA65" s="4484"/>
      <c r="AB65" s="4484"/>
      <c r="AC65" s="4484"/>
      <c r="AD65" s="4485"/>
    </row>
    <row r="66" spans="1:30" s="1276" customFormat="1" ht="13.8" thickBot="1">
      <c r="A66" s="1281"/>
      <c r="B66" s="1294"/>
      <c r="C66" s="1295"/>
      <c r="D66" s="1296"/>
      <c r="E66" s="1295"/>
      <c r="F66" s="1296"/>
      <c r="G66" s="1295"/>
      <c r="H66" s="1296"/>
      <c r="I66" s="1295"/>
      <c r="J66" s="1296"/>
      <c r="K66" s="1295"/>
      <c r="L66" s="1296"/>
      <c r="M66" s="1295"/>
      <c r="N66" s="962"/>
      <c r="O66" s="965"/>
      <c r="P66" s="962"/>
      <c r="Q66" s="965"/>
      <c r="R66" s="964"/>
      <c r="S66" s="2749"/>
      <c r="T66" s="3052">
        <v>2006</v>
      </c>
      <c r="U66" s="3032"/>
      <c r="V66" s="3032">
        <v>2007</v>
      </c>
      <c r="W66" s="3032"/>
      <c r="X66" s="3032">
        <v>2008</v>
      </c>
      <c r="Y66" s="3032"/>
      <c r="Z66" s="3032">
        <v>2009</v>
      </c>
      <c r="AA66" s="3032"/>
      <c r="AB66" s="3032">
        <v>2010</v>
      </c>
      <c r="AC66" s="3032"/>
      <c r="AD66" s="3545">
        <v>2011</v>
      </c>
    </row>
    <row r="67" spans="1:30" s="1276" customFormat="1" ht="13.8" thickBot="1">
      <c r="A67" s="1282" t="s">
        <v>29</v>
      </c>
      <c r="B67" s="1317">
        <v>553</v>
      </c>
      <c r="C67" s="1316"/>
      <c r="D67" s="1318">
        <v>517</v>
      </c>
      <c r="E67" s="1316"/>
      <c r="F67" s="1318">
        <v>576</v>
      </c>
      <c r="G67" s="1316"/>
      <c r="H67" s="1318">
        <v>648</v>
      </c>
      <c r="I67" s="1316"/>
      <c r="J67" s="1318">
        <v>767</v>
      </c>
      <c r="K67" s="1316"/>
      <c r="L67" s="1318">
        <v>996</v>
      </c>
      <c r="M67" s="1298"/>
      <c r="N67" s="966">
        <f>AVERAGE(B67:F67)</f>
        <v>548.66666666666663</v>
      </c>
      <c r="O67" s="967"/>
      <c r="P67" s="966">
        <f>AVERAGE(H67:L67)</f>
        <v>803.66666666666663</v>
      </c>
      <c r="Q67" s="967"/>
      <c r="R67" s="968">
        <f>P67-N67</f>
        <v>255</v>
      </c>
      <c r="S67" s="2749"/>
      <c r="T67" s="3837">
        <v>4386</v>
      </c>
      <c r="U67" s="3167"/>
      <c r="V67" s="3167">
        <v>4449</v>
      </c>
      <c r="W67" s="3167"/>
      <c r="X67" s="3167">
        <v>4552</v>
      </c>
      <c r="Y67" s="3167"/>
      <c r="Z67" s="3167">
        <v>4880</v>
      </c>
      <c r="AA67" s="3167"/>
      <c r="AB67" s="3167">
        <v>6190</v>
      </c>
      <c r="AC67" s="3167"/>
      <c r="AD67" s="3838">
        <v>7446</v>
      </c>
    </row>
    <row r="68" spans="1:30" s="1276" customFormat="1" ht="14.4" thickTop="1" thickBot="1">
      <c r="A68" s="1280" t="s">
        <v>32</v>
      </c>
      <c r="B68" s="1288">
        <f>SUM(B63:B67)</f>
        <v>553</v>
      </c>
      <c r="C68" s="1290"/>
      <c r="D68" s="1289">
        <f>SUM(D63:D67)</f>
        <v>517</v>
      </c>
      <c r="E68" s="1290"/>
      <c r="F68" s="1289">
        <f>SUM(F63:F67)</f>
        <v>576</v>
      </c>
      <c r="G68" s="1290"/>
      <c r="H68" s="1289">
        <f>SUM(H63:H67)</f>
        <v>648</v>
      </c>
      <c r="I68" s="1290"/>
      <c r="J68" s="1289">
        <f>SUM(J63:J67)</f>
        <v>767</v>
      </c>
      <c r="K68" s="1290"/>
      <c r="L68" s="1289">
        <f>SUM(L63:L67)</f>
        <v>996</v>
      </c>
      <c r="M68" s="1290"/>
      <c r="N68" s="969">
        <f>AVERAGE(B68:F68)</f>
        <v>548.66666666666663</v>
      </c>
      <c r="O68" s="970"/>
      <c r="P68" s="969">
        <f>AVERAGE(H68:L68)</f>
        <v>803.66666666666663</v>
      </c>
      <c r="Q68" s="970"/>
      <c r="R68" s="971">
        <f>P68-N68</f>
        <v>255</v>
      </c>
      <c r="S68" s="2749"/>
      <c r="T68" s="3839">
        <f>B68/T67</f>
        <v>0.12608299133606932</v>
      </c>
      <c r="U68" s="3840"/>
      <c r="V68" s="3840">
        <f>D68/V67</f>
        <v>0.11620588896381209</v>
      </c>
      <c r="W68" s="3840"/>
      <c r="X68" s="3840">
        <f>F68/X67</f>
        <v>0.1265377855887522</v>
      </c>
      <c r="Y68" s="3840"/>
      <c r="Z68" s="3840">
        <f>H68/Z67</f>
        <v>0.13278688524590163</v>
      </c>
      <c r="AA68" s="3840"/>
      <c r="AB68" s="3840">
        <f>J68/AB67</f>
        <v>0.12390953150242326</v>
      </c>
      <c r="AC68" s="3840"/>
      <c r="AD68" s="3841">
        <f>L68/AD67</f>
        <v>0.13376309427880742</v>
      </c>
    </row>
    <row r="69" spans="1:30" s="2005" customFormat="1" ht="13.8" thickBot="1">
      <c r="A69" s="2010"/>
      <c r="F69" s="2009"/>
      <c r="N69" s="957"/>
      <c r="O69" s="957"/>
      <c r="P69" s="957"/>
      <c r="Q69" s="957"/>
      <c r="R69" s="957"/>
      <c r="S69" s="2749"/>
      <c r="T69" s="3170"/>
      <c r="U69" s="3170"/>
      <c r="V69" s="3170"/>
      <c r="W69" s="3170"/>
      <c r="X69" s="3170"/>
      <c r="Y69" s="3170"/>
      <c r="Z69" s="3170"/>
      <c r="AA69" s="3170"/>
      <c r="AB69" s="3170"/>
      <c r="AC69" s="3170"/>
      <c r="AD69" s="3170"/>
    </row>
    <row r="70" spans="1:30" s="2006" customFormat="1" ht="27" customHeight="1" thickBot="1">
      <c r="A70" s="442" t="s">
        <v>201</v>
      </c>
      <c r="B70" s="2011" t="s">
        <v>2</v>
      </c>
      <c r="C70" s="2012"/>
      <c r="D70" s="2013" t="s">
        <v>3</v>
      </c>
      <c r="E70" s="2012"/>
      <c r="F70" s="2014" t="s">
        <v>4</v>
      </c>
      <c r="G70" s="2012"/>
      <c r="H70" s="2015" t="s">
        <v>5</v>
      </c>
      <c r="I70" s="2012"/>
      <c r="J70" s="2015" t="s">
        <v>6</v>
      </c>
      <c r="K70" s="2012"/>
      <c r="L70" s="2015" t="s">
        <v>7</v>
      </c>
      <c r="M70" s="2012"/>
      <c r="N70" s="959" t="s">
        <v>33</v>
      </c>
      <c r="O70" s="960"/>
      <c r="P70" s="959" t="s">
        <v>34</v>
      </c>
      <c r="Q70" s="960"/>
      <c r="R70" s="961" t="s">
        <v>35</v>
      </c>
      <c r="S70" s="3239"/>
      <c r="T70" s="3767"/>
      <c r="U70" s="3767"/>
      <c r="V70" s="3767"/>
      <c r="W70" s="3767"/>
      <c r="X70" s="3767"/>
      <c r="Y70" s="3767"/>
      <c r="Z70" s="3767"/>
      <c r="AA70" s="3767"/>
      <c r="AB70" s="3767"/>
      <c r="AC70" s="3767"/>
      <c r="AD70" s="3767"/>
    </row>
    <row r="71" spans="1:30" s="2005" customFormat="1">
      <c r="A71" s="2007" t="s">
        <v>28</v>
      </c>
      <c r="B71" s="1860"/>
      <c r="C71" s="1861"/>
      <c r="D71" s="1862"/>
      <c r="E71" s="1861"/>
      <c r="F71" s="1862"/>
      <c r="G71" s="1861"/>
      <c r="H71" s="1862"/>
      <c r="I71" s="1861"/>
      <c r="J71" s="1862"/>
      <c r="K71" s="1861"/>
      <c r="L71" s="1862"/>
      <c r="M71" s="1861"/>
      <c r="N71" s="962"/>
      <c r="O71" s="963"/>
      <c r="P71" s="962"/>
      <c r="Q71" s="963"/>
      <c r="R71" s="964"/>
      <c r="S71" s="2749"/>
      <c r="T71" s="3170"/>
      <c r="U71" s="3170"/>
      <c r="V71" s="3170"/>
      <c r="W71" s="3170"/>
      <c r="X71" s="3170"/>
      <c r="Y71" s="3170"/>
      <c r="Z71" s="3170"/>
      <c r="AA71" s="3170"/>
      <c r="AB71" s="3170"/>
      <c r="AC71" s="3170"/>
      <c r="AD71" s="3170"/>
    </row>
    <row r="72" spans="1:30" s="2005" customFormat="1" ht="13.8" thickBot="1">
      <c r="A72" s="2007"/>
      <c r="B72" s="1860"/>
      <c r="C72" s="1861"/>
      <c r="D72" s="1862"/>
      <c r="E72" s="1861"/>
      <c r="F72" s="1862"/>
      <c r="G72" s="1861"/>
      <c r="H72" s="1862"/>
      <c r="I72" s="1861"/>
      <c r="J72" s="1862"/>
      <c r="K72" s="1861"/>
      <c r="L72" s="1862"/>
      <c r="M72" s="1861"/>
      <c r="N72" s="962"/>
      <c r="O72" s="963"/>
      <c r="P72" s="962"/>
      <c r="Q72" s="963"/>
      <c r="R72" s="964"/>
      <c r="S72" s="2749"/>
      <c r="T72" s="3170"/>
      <c r="U72" s="3170"/>
      <c r="V72" s="3170"/>
      <c r="W72" s="3170"/>
      <c r="X72" s="3170"/>
      <c r="Y72" s="3170"/>
      <c r="Z72" s="3170"/>
      <c r="AA72" s="3170"/>
      <c r="AB72" s="3170"/>
      <c r="AC72" s="3170"/>
      <c r="AD72" s="3170"/>
    </row>
    <row r="73" spans="1:30" s="2005" customFormat="1">
      <c r="A73" s="2007" t="s">
        <v>65</v>
      </c>
      <c r="B73" s="1863"/>
      <c r="C73" s="1864"/>
      <c r="D73" s="1865"/>
      <c r="E73" s="1864"/>
      <c r="F73" s="1865"/>
      <c r="G73" s="1864"/>
      <c r="H73" s="1865"/>
      <c r="I73" s="1864"/>
      <c r="J73" s="1865"/>
      <c r="K73" s="1864"/>
      <c r="L73" s="1865"/>
      <c r="M73" s="1864"/>
      <c r="N73" s="962"/>
      <c r="O73" s="963"/>
      <c r="P73" s="962"/>
      <c r="Q73" s="963"/>
      <c r="R73" s="964"/>
      <c r="S73" s="2749"/>
      <c r="T73" s="4483" t="s">
        <v>469</v>
      </c>
      <c r="U73" s="4484"/>
      <c r="V73" s="4484"/>
      <c r="W73" s="4484"/>
      <c r="X73" s="4484"/>
      <c r="Y73" s="4484"/>
      <c r="Z73" s="4484"/>
      <c r="AA73" s="4484"/>
      <c r="AB73" s="4484"/>
      <c r="AC73" s="4484"/>
      <c r="AD73" s="4485"/>
    </row>
    <row r="74" spans="1:30" s="2005" customFormat="1" ht="13.8" thickBot="1">
      <c r="A74" s="2007"/>
      <c r="B74" s="1863"/>
      <c r="C74" s="1864"/>
      <c r="D74" s="1865"/>
      <c r="E74" s="1864"/>
      <c r="F74" s="1865"/>
      <c r="G74" s="1864"/>
      <c r="H74" s="1865"/>
      <c r="I74" s="1864"/>
      <c r="J74" s="1865"/>
      <c r="K74" s="1864"/>
      <c r="L74" s="1865"/>
      <c r="M74" s="1864"/>
      <c r="N74" s="962"/>
      <c r="O74" s="965"/>
      <c r="P74" s="962"/>
      <c r="Q74" s="965"/>
      <c r="R74" s="964"/>
      <c r="S74" s="2749"/>
      <c r="T74" s="3052">
        <v>2006</v>
      </c>
      <c r="U74" s="3032"/>
      <c r="V74" s="3032">
        <v>2007</v>
      </c>
      <c r="W74" s="3032"/>
      <c r="X74" s="3032">
        <v>2008</v>
      </c>
      <c r="Y74" s="3032"/>
      <c r="Z74" s="3032">
        <v>2009</v>
      </c>
      <c r="AA74" s="3032"/>
      <c r="AB74" s="3032">
        <v>2010</v>
      </c>
      <c r="AC74" s="3032"/>
      <c r="AD74" s="3545">
        <v>2011</v>
      </c>
    </row>
    <row r="75" spans="1:30" s="2005" customFormat="1" ht="13.8" thickBot="1">
      <c r="A75" s="2008" t="s">
        <v>29</v>
      </c>
      <c r="B75" s="2036">
        <v>588</v>
      </c>
      <c r="C75" s="2034"/>
      <c r="D75" s="2037">
        <v>651</v>
      </c>
      <c r="E75" s="2034"/>
      <c r="F75" s="2037">
        <v>720</v>
      </c>
      <c r="G75" s="2034"/>
      <c r="H75" s="2037">
        <v>732</v>
      </c>
      <c r="I75" s="2034"/>
      <c r="J75" s="2037">
        <v>900</v>
      </c>
      <c r="K75" s="2034"/>
      <c r="L75" s="2037">
        <v>1099</v>
      </c>
      <c r="M75" s="1866"/>
      <c r="N75" s="966">
        <f>AVERAGE(B75:F75)</f>
        <v>653</v>
      </c>
      <c r="O75" s="967"/>
      <c r="P75" s="966">
        <f>AVERAGE(H75:L75)</f>
        <v>910.33333333333337</v>
      </c>
      <c r="Q75" s="967"/>
      <c r="R75" s="968">
        <f>P75-N75</f>
        <v>257.33333333333337</v>
      </c>
      <c r="S75" s="2749"/>
      <c r="T75" s="3837">
        <v>3796</v>
      </c>
      <c r="U75" s="3167"/>
      <c r="V75" s="3167">
        <v>3969</v>
      </c>
      <c r="W75" s="3167"/>
      <c r="X75" s="3167">
        <v>4211</v>
      </c>
      <c r="Y75" s="3167"/>
      <c r="Z75" s="3167">
        <v>3875</v>
      </c>
      <c r="AA75" s="3167"/>
      <c r="AB75" s="3167">
        <v>4841</v>
      </c>
      <c r="AC75" s="3167"/>
      <c r="AD75" s="3838">
        <v>5656</v>
      </c>
    </row>
    <row r="76" spans="1:30" s="2005" customFormat="1" ht="14.4" thickTop="1" thickBot="1">
      <c r="A76" s="2022" t="s">
        <v>32</v>
      </c>
      <c r="B76" s="1857">
        <f>SUM(B71:B75)</f>
        <v>588</v>
      </c>
      <c r="C76" s="1859"/>
      <c r="D76" s="1858">
        <f>SUM(D71:D75)</f>
        <v>651</v>
      </c>
      <c r="E76" s="1859"/>
      <c r="F76" s="1858">
        <f>SUM(F71:F75)</f>
        <v>720</v>
      </c>
      <c r="G76" s="1859"/>
      <c r="H76" s="1858">
        <f>SUM(H71:H75)</f>
        <v>732</v>
      </c>
      <c r="I76" s="1859"/>
      <c r="J76" s="1858">
        <f>SUM(J71:J75)</f>
        <v>900</v>
      </c>
      <c r="K76" s="1859"/>
      <c r="L76" s="1858">
        <f>SUM(L71:L75)</f>
        <v>1099</v>
      </c>
      <c r="M76" s="1859"/>
      <c r="N76" s="969">
        <f>AVERAGE(B76:F76)</f>
        <v>653</v>
      </c>
      <c r="O76" s="970"/>
      <c r="P76" s="969">
        <f>AVERAGE(H76:L76)</f>
        <v>910.33333333333337</v>
      </c>
      <c r="Q76" s="970"/>
      <c r="R76" s="971">
        <f>P76-N76</f>
        <v>257.33333333333337</v>
      </c>
      <c r="S76" s="2749"/>
      <c r="T76" s="3839">
        <f>B76/T75</f>
        <v>0.15489989462592202</v>
      </c>
      <c r="U76" s="3840"/>
      <c r="V76" s="3840">
        <f>D76/V75</f>
        <v>0.16402116402116401</v>
      </c>
      <c r="W76" s="3840"/>
      <c r="X76" s="3840">
        <f>F76/X75</f>
        <v>0.1709807646639753</v>
      </c>
      <c r="Y76" s="3840"/>
      <c r="Z76" s="3840">
        <f>H76/Z75</f>
        <v>0.18890322580645161</v>
      </c>
      <c r="AA76" s="3840"/>
      <c r="AB76" s="3840">
        <f>J76/AB75</f>
        <v>0.18591200165255112</v>
      </c>
      <c r="AC76" s="3840"/>
      <c r="AD76" s="3841">
        <f>L76/AD75</f>
        <v>0.19430693069306931</v>
      </c>
    </row>
    <row r="77" spans="1:30" s="2023" customFormat="1" ht="13.8" thickBot="1">
      <c r="A77" s="2028"/>
      <c r="F77" s="2027"/>
      <c r="N77" s="957"/>
      <c r="O77" s="957"/>
      <c r="P77" s="957"/>
      <c r="Q77" s="957"/>
      <c r="R77" s="957"/>
      <c r="S77" s="2749"/>
      <c r="T77" s="3170"/>
      <c r="U77" s="3170"/>
      <c r="V77" s="3170"/>
      <c r="W77" s="3170"/>
      <c r="X77" s="3170"/>
      <c r="Y77" s="3170"/>
      <c r="Z77" s="3170"/>
      <c r="AA77" s="3170"/>
      <c r="AB77" s="3170"/>
      <c r="AC77" s="3170"/>
      <c r="AD77" s="3170"/>
    </row>
    <row r="78" spans="1:30" s="2024" customFormat="1" ht="27" customHeight="1" thickBot="1">
      <c r="A78" s="442" t="s">
        <v>204</v>
      </c>
      <c r="B78" s="2029" t="s">
        <v>2</v>
      </c>
      <c r="C78" s="2030"/>
      <c r="D78" s="2031" t="s">
        <v>3</v>
      </c>
      <c r="E78" s="2030"/>
      <c r="F78" s="2032" t="s">
        <v>4</v>
      </c>
      <c r="G78" s="2030"/>
      <c r="H78" s="2033" t="s">
        <v>5</v>
      </c>
      <c r="I78" s="2030"/>
      <c r="J78" s="2033" t="s">
        <v>6</v>
      </c>
      <c r="K78" s="2030"/>
      <c r="L78" s="2033" t="s">
        <v>7</v>
      </c>
      <c r="M78" s="2030"/>
      <c r="N78" s="959" t="s">
        <v>33</v>
      </c>
      <c r="O78" s="960"/>
      <c r="P78" s="959" t="s">
        <v>34</v>
      </c>
      <c r="Q78" s="960"/>
      <c r="R78" s="961" t="s">
        <v>35</v>
      </c>
      <c r="S78" s="3239"/>
      <c r="T78" s="3767"/>
      <c r="U78" s="3767"/>
      <c r="V78" s="3767"/>
      <c r="W78" s="3767"/>
      <c r="X78" s="3767"/>
      <c r="Y78" s="3767"/>
      <c r="Z78" s="3767"/>
      <c r="AA78" s="3767"/>
      <c r="AB78" s="3767"/>
      <c r="AC78" s="3767"/>
      <c r="AD78" s="3767"/>
    </row>
    <row r="79" spans="1:30" s="2023" customFormat="1">
      <c r="A79" s="2025" t="s">
        <v>28</v>
      </c>
      <c r="B79" s="1860"/>
      <c r="C79" s="1861"/>
      <c r="D79" s="1862"/>
      <c r="E79" s="1861"/>
      <c r="F79" s="1862"/>
      <c r="G79" s="1861"/>
      <c r="H79" s="1862"/>
      <c r="I79" s="1861"/>
      <c r="J79" s="1862"/>
      <c r="K79" s="1861"/>
      <c r="L79" s="1862"/>
      <c r="M79" s="1861"/>
      <c r="N79" s="962"/>
      <c r="O79" s="963"/>
      <c r="P79" s="962"/>
      <c r="Q79" s="963"/>
      <c r="R79" s="964"/>
      <c r="S79" s="2749"/>
      <c r="T79" s="3170"/>
      <c r="U79" s="3170"/>
      <c r="V79" s="3170"/>
      <c r="W79" s="3170"/>
      <c r="X79" s="3170"/>
      <c r="Y79" s="3170"/>
      <c r="Z79" s="3170"/>
      <c r="AA79" s="3170"/>
      <c r="AB79" s="3170"/>
      <c r="AC79" s="3170"/>
      <c r="AD79" s="3170"/>
    </row>
    <row r="80" spans="1:30" s="2023" customFormat="1" ht="13.8" thickBot="1">
      <c r="A80" s="2025"/>
      <c r="B80" s="1860"/>
      <c r="C80" s="1861"/>
      <c r="D80" s="1862"/>
      <c r="E80" s="1861"/>
      <c r="F80" s="1862"/>
      <c r="G80" s="1861"/>
      <c r="H80" s="1862"/>
      <c r="I80" s="1861"/>
      <c r="J80" s="1862"/>
      <c r="K80" s="1861"/>
      <c r="L80" s="1862"/>
      <c r="M80" s="1861"/>
      <c r="N80" s="962"/>
      <c r="O80" s="963"/>
      <c r="P80" s="962"/>
      <c r="Q80" s="963"/>
      <c r="R80" s="964"/>
      <c r="S80" s="2749"/>
      <c r="T80" s="3170"/>
      <c r="U80" s="3170"/>
      <c r="V80" s="3170"/>
      <c r="W80" s="3170"/>
      <c r="X80" s="3170"/>
      <c r="Y80" s="3170"/>
      <c r="Z80" s="3170"/>
      <c r="AA80" s="3170"/>
      <c r="AB80" s="3170"/>
      <c r="AC80" s="3170"/>
      <c r="AD80" s="3170"/>
    </row>
    <row r="81" spans="1:30" s="2023" customFormat="1">
      <c r="A81" s="2025" t="s">
        <v>65</v>
      </c>
      <c r="B81" s="1863"/>
      <c r="C81" s="1864"/>
      <c r="D81" s="1865"/>
      <c r="E81" s="1864"/>
      <c r="F81" s="1865"/>
      <c r="G81" s="1864"/>
      <c r="H81" s="1865"/>
      <c r="I81" s="1864"/>
      <c r="J81" s="1865"/>
      <c r="K81" s="1864"/>
      <c r="L81" s="1865"/>
      <c r="M81" s="1864"/>
      <c r="N81" s="962"/>
      <c r="O81" s="963"/>
      <c r="P81" s="962"/>
      <c r="Q81" s="963"/>
      <c r="R81" s="964"/>
      <c r="S81" s="2749"/>
      <c r="T81" s="4483" t="s">
        <v>469</v>
      </c>
      <c r="U81" s="4484"/>
      <c r="V81" s="4484"/>
      <c r="W81" s="4484"/>
      <c r="X81" s="4484"/>
      <c r="Y81" s="4484"/>
      <c r="Z81" s="4484"/>
      <c r="AA81" s="4484"/>
      <c r="AB81" s="4484"/>
      <c r="AC81" s="4484"/>
      <c r="AD81" s="4485"/>
    </row>
    <row r="82" spans="1:30" s="2023" customFormat="1" ht="13.8" thickBot="1">
      <c r="A82" s="2025"/>
      <c r="B82" s="1863"/>
      <c r="C82" s="1864"/>
      <c r="D82" s="1865"/>
      <c r="E82" s="1864"/>
      <c r="F82" s="1865"/>
      <c r="G82" s="1864"/>
      <c r="H82" s="1865"/>
      <c r="I82" s="1864"/>
      <c r="J82" s="1865"/>
      <c r="K82" s="1864"/>
      <c r="L82" s="1865"/>
      <c r="M82" s="1864"/>
      <c r="N82" s="962"/>
      <c r="O82" s="965"/>
      <c r="P82" s="962"/>
      <c r="Q82" s="965"/>
      <c r="R82" s="964"/>
      <c r="S82" s="2749"/>
      <c r="T82" s="3052">
        <v>2006</v>
      </c>
      <c r="U82" s="3032"/>
      <c r="V82" s="3032">
        <v>2007</v>
      </c>
      <c r="W82" s="3032"/>
      <c r="X82" s="3032">
        <v>2008</v>
      </c>
      <c r="Y82" s="3032"/>
      <c r="Z82" s="3032">
        <v>2009</v>
      </c>
      <c r="AA82" s="3032"/>
      <c r="AB82" s="3032">
        <v>2010</v>
      </c>
      <c r="AC82" s="3032"/>
      <c r="AD82" s="3545">
        <v>2011</v>
      </c>
    </row>
    <row r="83" spans="1:30" s="2023" customFormat="1" ht="13.8" thickBot="1">
      <c r="A83" s="2026" t="s">
        <v>29</v>
      </c>
      <c r="B83" s="2051">
        <v>142</v>
      </c>
      <c r="C83" s="2049"/>
      <c r="D83" s="2052">
        <v>181</v>
      </c>
      <c r="E83" s="2049"/>
      <c r="F83" s="2052">
        <v>204</v>
      </c>
      <c r="G83" s="2049"/>
      <c r="H83" s="2052">
        <v>182</v>
      </c>
      <c r="I83" s="2049"/>
      <c r="J83" s="2052">
        <v>266</v>
      </c>
      <c r="K83" s="2049"/>
      <c r="L83" s="2052">
        <v>331</v>
      </c>
      <c r="M83" s="1866"/>
      <c r="N83" s="966">
        <f>AVERAGE(B83:F83)</f>
        <v>175.66666666666666</v>
      </c>
      <c r="O83" s="967"/>
      <c r="P83" s="966">
        <f>AVERAGE(H83:L83)</f>
        <v>259.66666666666669</v>
      </c>
      <c r="Q83" s="967"/>
      <c r="R83" s="968">
        <f>P83-N83</f>
        <v>84.000000000000028</v>
      </c>
      <c r="S83" s="2749"/>
      <c r="T83" s="3837">
        <v>1632</v>
      </c>
      <c r="U83" s="3167"/>
      <c r="V83" s="3167">
        <v>1707</v>
      </c>
      <c r="W83" s="3167"/>
      <c r="X83" s="3167">
        <v>1751</v>
      </c>
      <c r="Y83" s="3167"/>
      <c r="Z83" s="3167">
        <v>1805</v>
      </c>
      <c r="AA83" s="3167"/>
      <c r="AB83" s="3167">
        <v>2265</v>
      </c>
      <c r="AC83" s="3167"/>
      <c r="AD83" s="3838">
        <v>2418</v>
      </c>
    </row>
    <row r="84" spans="1:30" s="2023" customFormat="1" ht="14.4" thickTop="1" thickBot="1">
      <c r="A84" s="2035" t="s">
        <v>32</v>
      </c>
      <c r="B84" s="1857">
        <f>SUM(B79:B83)</f>
        <v>142</v>
      </c>
      <c r="C84" s="1859"/>
      <c r="D84" s="1858">
        <f>SUM(D79:D83)</f>
        <v>181</v>
      </c>
      <c r="E84" s="1859"/>
      <c r="F84" s="1858">
        <f>SUM(F79:F83)</f>
        <v>204</v>
      </c>
      <c r="G84" s="1859"/>
      <c r="H84" s="1858">
        <f>SUM(H79:H83)</f>
        <v>182</v>
      </c>
      <c r="I84" s="1859"/>
      <c r="J84" s="1858">
        <f>SUM(J79:J83)</f>
        <v>266</v>
      </c>
      <c r="K84" s="1859"/>
      <c r="L84" s="1858">
        <f>SUM(L79:L83)</f>
        <v>331</v>
      </c>
      <c r="M84" s="1859"/>
      <c r="N84" s="969">
        <f>AVERAGE(B84:F84)</f>
        <v>175.66666666666666</v>
      </c>
      <c r="O84" s="970"/>
      <c r="P84" s="969">
        <f>AVERAGE(H84:L84)</f>
        <v>259.66666666666669</v>
      </c>
      <c r="Q84" s="970"/>
      <c r="R84" s="971">
        <f>P84-N84</f>
        <v>84.000000000000028</v>
      </c>
      <c r="S84" s="2749"/>
      <c r="T84" s="3839">
        <f>B84/T83</f>
        <v>8.7009803921568624E-2</v>
      </c>
      <c r="U84" s="3840"/>
      <c r="V84" s="3840">
        <f>D84/V83</f>
        <v>0.1060339777387229</v>
      </c>
      <c r="W84" s="3840"/>
      <c r="X84" s="3840">
        <f>F84/X83</f>
        <v>0.11650485436893204</v>
      </c>
      <c r="Y84" s="3840"/>
      <c r="Z84" s="3840">
        <f>H84/Z83</f>
        <v>0.10083102493074793</v>
      </c>
      <c r="AA84" s="3840"/>
      <c r="AB84" s="3840">
        <f>J84/AB83</f>
        <v>0.11743929359823399</v>
      </c>
      <c r="AC84" s="3840"/>
      <c r="AD84" s="3841">
        <f>L84/AD83</f>
        <v>0.13688999172870139</v>
      </c>
    </row>
    <row r="85" spans="1:30" s="2038" customFormat="1" ht="13.8" thickBot="1">
      <c r="A85" s="2043"/>
      <c r="F85" s="2042"/>
      <c r="N85" s="957"/>
      <c r="O85" s="957"/>
      <c r="P85" s="957"/>
      <c r="Q85" s="957"/>
      <c r="R85" s="957"/>
      <c r="S85" s="2749"/>
      <c r="T85" s="3170"/>
      <c r="U85" s="3170"/>
      <c r="V85" s="3170"/>
      <c r="W85" s="3170"/>
      <c r="X85" s="3170"/>
      <c r="Y85" s="3170"/>
      <c r="Z85" s="3170"/>
      <c r="AA85" s="3170"/>
      <c r="AB85" s="3170"/>
      <c r="AC85" s="3170"/>
      <c r="AD85" s="3170"/>
    </row>
    <row r="86" spans="1:30" s="2039" customFormat="1" ht="27" customHeight="1" thickBot="1">
      <c r="A86" s="442" t="s">
        <v>205</v>
      </c>
      <c r="B86" s="2044" t="s">
        <v>2</v>
      </c>
      <c r="C86" s="2045"/>
      <c r="D86" s="2046" t="s">
        <v>3</v>
      </c>
      <c r="E86" s="2045"/>
      <c r="F86" s="2047" t="s">
        <v>4</v>
      </c>
      <c r="G86" s="2045"/>
      <c r="H86" s="2048" t="s">
        <v>5</v>
      </c>
      <c r="I86" s="2045"/>
      <c r="J86" s="2048" t="s">
        <v>6</v>
      </c>
      <c r="K86" s="2045"/>
      <c r="L86" s="2048" t="s">
        <v>7</v>
      </c>
      <c r="M86" s="2045"/>
      <c r="N86" s="959" t="s">
        <v>33</v>
      </c>
      <c r="O86" s="960"/>
      <c r="P86" s="959" t="s">
        <v>34</v>
      </c>
      <c r="Q86" s="960"/>
      <c r="R86" s="961" t="s">
        <v>35</v>
      </c>
      <c r="S86" s="3239"/>
      <c r="T86" s="3767"/>
      <c r="U86" s="3767"/>
      <c r="V86" s="3767"/>
      <c r="W86" s="3767"/>
      <c r="X86" s="3767"/>
      <c r="Y86" s="3767"/>
      <c r="Z86" s="3767"/>
      <c r="AA86" s="3767"/>
      <c r="AB86" s="3767"/>
      <c r="AC86" s="3767"/>
      <c r="AD86" s="3767"/>
    </row>
    <row r="87" spans="1:30" s="2038" customFormat="1">
      <c r="A87" s="2040" t="s">
        <v>28</v>
      </c>
      <c r="B87" s="1860"/>
      <c r="C87" s="1861"/>
      <c r="D87" s="1862"/>
      <c r="E87" s="1861"/>
      <c r="F87" s="1862"/>
      <c r="G87" s="1861"/>
      <c r="H87" s="1862"/>
      <c r="I87" s="1861"/>
      <c r="J87" s="1862"/>
      <c r="K87" s="1861"/>
      <c r="L87" s="1862"/>
      <c r="M87" s="1861"/>
      <c r="N87" s="962"/>
      <c r="O87" s="963"/>
      <c r="P87" s="962"/>
      <c r="Q87" s="963"/>
      <c r="R87" s="964"/>
      <c r="S87" s="2749"/>
      <c r="T87" s="3170"/>
      <c r="U87" s="3170"/>
      <c r="V87" s="3170"/>
      <c r="W87" s="3170"/>
      <c r="X87" s="3170"/>
      <c r="Y87" s="3170"/>
      <c r="Z87" s="3170"/>
      <c r="AA87" s="3170"/>
      <c r="AB87" s="3170"/>
      <c r="AC87" s="3170"/>
      <c r="AD87" s="3170"/>
    </row>
    <row r="88" spans="1:30" s="2038" customFormat="1" ht="13.8" thickBot="1">
      <c r="A88" s="2040"/>
      <c r="B88" s="1860"/>
      <c r="C88" s="1861"/>
      <c r="D88" s="1862"/>
      <c r="E88" s="1861"/>
      <c r="F88" s="1862"/>
      <c r="G88" s="1861"/>
      <c r="H88" s="1862"/>
      <c r="I88" s="1861"/>
      <c r="J88" s="1862"/>
      <c r="K88" s="1861"/>
      <c r="L88" s="1862"/>
      <c r="M88" s="1861"/>
      <c r="N88" s="962"/>
      <c r="O88" s="963"/>
      <c r="P88" s="962"/>
      <c r="Q88" s="963"/>
      <c r="R88" s="964"/>
      <c r="S88" s="2749"/>
      <c r="T88" s="3170"/>
      <c r="U88" s="3170"/>
      <c r="V88" s="3170"/>
      <c r="W88" s="3170"/>
      <c r="X88" s="3170"/>
      <c r="Y88" s="3170"/>
      <c r="Z88" s="3170"/>
      <c r="AA88" s="3170"/>
      <c r="AB88" s="3170"/>
      <c r="AC88" s="3170"/>
      <c r="AD88" s="3170"/>
    </row>
    <row r="89" spans="1:30" s="2038" customFormat="1">
      <c r="A89" s="2040" t="s">
        <v>65</v>
      </c>
      <c r="B89" s="1863"/>
      <c r="C89" s="1864"/>
      <c r="D89" s="1865"/>
      <c r="E89" s="1864"/>
      <c r="F89" s="1865"/>
      <c r="G89" s="1864"/>
      <c r="H89" s="1865"/>
      <c r="I89" s="1864"/>
      <c r="J89" s="1865"/>
      <c r="K89" s="1864"/>
      <c r="L89" s="1865"/>
      <c r="M89" s="1864"/>
      <c r="N89" s="962"/>
      <c r="O89" s="963"/>
      <c r="P89" s="962"/>
      <c r="Q89" s="963"/>
      <c r="R89" s="964"/>
      <c r="S89" s="2749"/>
      <c r="T89" s="4483" t="s">
        <v>469</v>
      </c>
      <c r="U89" s="4484"/>
      <c r="V89" s="4484"/>
      <c r="W89" s="4484"/>
      <c r="X89" s="4484"/>
      <c r="Y89" s="4484"/>
      <c r="Z89" s="4484"/>
      <c r="AA89" s="4484"/>
      <c r="AB89" s="4484"/>
      <c r="AC89" s="4484"/>
      <c r="AD89" s="4485"/>
    </row>
    <row r="90" spans="1:30" s="2038" customFormat="1" ht="13.8" thickBot="1">
      <c r="A90" s="2040"/>
      <c r="B90" s="1863"/>
      <c r="C90" s="1864"/>
      <c r="D90" s="1865"/>
      <c r="E90" s="1864"/>
      <c r="F90" s="1865"/>
      <c r="G90" s="1864"/>
      <c r="H90" s="1865"/>
      <c r="I90" s="1864"/>
      <c r="J90" s="1865"/>
      <c r="K90" s="1864"/>
      <c r="L90" s="1865"/>
      <c r="M90" s="1864"/>
      <c r="N90" s="962"/>
      <c r="O90" s="965"/>
      <c r="P90" s="962"/>
      <c r="Q90" s="965"/>
      <c r="R90" s="964"/>
      <c r="S90" s="2749"/>
      <c r="T90" s="3052">
        <v>2006</v>
      </c>
      <c r="U90" s="3032"/>
      <c r="V90" s="3032">
        <v>2007</v>
      </c>
      <c r="W90" s="3032"/>
      <c r="X90" s="3032">
        <v>2008</v>
      </c>
      <c r="Y90" s="3032"/>
      <c r="Z90" s="3032">
        <v>2009</v>
      </c>
      <c r="AA90" s="3032"/>
      <c r="AB90" s="3032">
        <v>2010</v>
      </c>
      <c r="AC90" s="3032"/>
      <c r="AD90" s="3545">
        <v>2011</v>
      </c>
    </row>
    <row r="91" spans="1:30" s="2038" customFormat="1" ht="13.8" thickBot="1">
      <c r="A91" s="2041" t="s">
        <v>29</v>
      </c>
      <c r="B91" s="2066">
        <v>233</v>
      </c>
      <c r="C91" s="2064"/>
      <c r="D91" s="2067">
        <v>237</v>
      </c>
      <c r="E91" s="2064"/>
      <c r="F91" s="2067">
        <v>225</v>
      </c>
      <c r="G91" s="2064"/>
      <c r="H91" s="2067">
        <v>261</v>
      </c>
      <c r="I91" s="2064"/>
      <c r="J91" s="2067">
        <v>348</v>
      </c>
      <c r="K91" s="2064"/>
      <c r="L91" s="2067">
        <v>382</v>
      </c>
      <c r="M91" s="1866"/>
      <c r="N91" s="966">
        <f>AVERAGE(B91:F91)</f>
        <v>231.66666666666666</v>
      </c>
      <c r="O91" s="967"/>
      <c r="P91" s="966">
        <f>AVERAGE(H91:L91)</f>
        <v>330.33333333333331</v>
      </c>
      <c r="Q91" s="967"/>
      <c r="R91" s="968">
        <f>P91-N91</f>
        <v>98.666666666666657</v>
      </c>
      <c r="S91" s="2749"/>
      <c r="T91" s="3837">
        <v>2141</v>
      </c>
      <c r="U91" s="3167"/>
      <c r="V91" s="3167">
        <v>2209</v>
      </c>
      <c r="W91" s="3167"/>
      <c r="X91" s="3167">
        <v>2384</v>
      </c>
      <c r="Y91" s="3167"/>
      <c r="Z91" s="3167">
        <v>2575</v>
      </c>
      <c r="AA91" s="3167"/>
      <c r="AB91" s="3167">
        <v>3661</v>
      </c>
      <c r="AC91" s="3167"/>
      <c r="AD91" s="3838">
        <v>4310</v>
      </c>
    </row>
    <row r="92" spans="1:30" s="2038" customFormat="1" ht="14.4" thickTop="1" thickBot="1">
      <c r="A92" s="2050" t="s">
        <v>32</v>
      </c>
      <c r="B92" s="1857">
        <f>SUM(B87:B91)</f>
        <v>233</v>
      </c>
      <c r="C92" s="1859"/>
      <c r="D92" s="1858">
        <f>SUM(D87:D91)</f>
        <v>237</v>
      </c>
      <c r="E92" s="1859"/>
      <c r="F92" s="1858">
        <f>SUM(F87:F91)</f>
        <v>225</v>
      </c>
      <c r="G92" s="1859"/>
      <c r="H92" s="1858">
        <f>SUM(H87:H91)</f>
        <v>261</v>
      </c>
      <c r="I92" s="1859"/>
      <c r="J92" s="1858">
        <f>SUM(J87:J91)</f>
        <v>348</v>
      </c>
      <c r="K92" s="1859"/>
      <c r="L92" s="1858">
        <f>SUM(L87:L91)</f>
        <v>382</v>
      </c>
      <c r="M92" s="1859"/>
      <c r="N92" s="969">
        <f>AVERAGE(B92:F92)</f>
        <v>231.66666666666666</v>
      </c>
      <c r="O92" s="970"/>
      <c r="P92" s="969">
        <f>AVERAGE(H92:L92)</f>
        <v>330.33333333333331</v>
      </c>
      <c r="Q92" s="970"/>
      <c r="R92" s="971">
        <f>P92-N92</f>
        <v>98.666666666666657</v>
      </c>
      <c r="S92" s="2749"/>
      <c r="T92" s="3839">
        <f>B92/T91</f>
        <v>0.10882765063054647</v>
      </c>
      <c r="U92" s="3840"/>
      <c r="V92" s="3840">
        <f>D92/V91</f>
        <v>0.1072883657763694</v>
      </c>
      <c r="W92" s="3840"/>
      <c r="X92" s="3840">
        <f>F92/X91</f>
        <v>9.4379194630872479E-2</v>
      </c>
      <c r="Y92" s="3840"/>
      <c r="Z92" s="3840">
        <f>H92/Z91</f>
        <v>0.10135922330097087</v>
      </c>
      <c r="AA92" s="3840"/>
      <c r="AB92" s="3840">
        <f>J92/AB91</f>
        <v>9.5055995629609397E-2</v>
      </c>
      <c r="AC92" s="3840"/>
      <c r="AD92" s="3841">
        <f>L92/AD91</f>
        <v>8.8631090487238981E-2</v>
      </c>
    </row>
    <row r="93" spans="1:30" s="2053" customFormat="1" ht="13.8" thickBot="1">
      <c r="A93" s="2058"/>
      <c r="F93" s="2057"/>
      <c r="N93" s="957"/>
      <c r="O93" s="957"/>
      <c r="P93" s="957"/>
      <c r="Q93" s="957"/>
      <c r="R93" s="957"/>
      <c r="S93" s="2749"/>
      <c r="T93" s="3170"/>
      <c r="U93" s="3170"/>
      <c r="V93" s="3170"/>
      <c r="W93" s="3170"/>
      <c r="X93" s="3170"/>
      <c r="Y93" s="3170"/>
      <c r="Z93" s="3170"/>
      <c r="AA93" s="3170"/>
      <c r="AB93" s="3170"/>
      <c r="AC93" s="3170"/>
      <c r="AD93" s="3170"/>
    </row>
    <row r="94" spans="1:30" s="2054" customFormat="1" ht="27" customHeight="1" thickBot="1">
      <c r="A94" s="442" t="s">
        <v>206</v>
      </c>
      <c r="B94" s="2059" t="s">
        <v>2</v>
      </c>
      <c r="C94" s="2060"/>
      <c r="D94" s="2061" t="s">
        <v>3</v>
      </c>
      <c r="E94" s="2060"/>
      <c r="F94" s="2062" t="s">
        <v>4</v>
      </c>
      <c r="G94" s="2060"/>
      <c r="H94" s="2063" t="s">
        <v>5</v>
      </c>
      <c r="I94" s="2060"/>
      <c r="J94" s="2063" t="s">
        <v>6</v>
      </c>
      <c r="K94" s="2060"/>
      <c r="L94" s="2063" t="s">
        <v>7</v>
      </c>
      <c r="M94" s="2060"/>
      <c r="N94" s="959" t="s">
        <v>33</v>
      </c>
      <c r="O94" s="960"/>
      <c r="P94" s="959" t="s">
        <v>34</v>
      </c>
      <c r="Q94" s="960"/>
      <c r="R94" s="961" t="s">
        <v>35</v>
      </c>
      <c r="S94" s="3239"/>
      <c r="T94" s="3767"/>
      <c r="U94" s="3767"/>
      <c r="V94" s="3767"/>
      <c r="W94" s="3767"/>
      <c r="X94" s="3767"/>
      <c r="Y94" s="3767"/>
      <c r="Z94" s="3767"/>
      <c r="AA94" s="3767"/>
      <c r="AB94" s="3767"/>
      <c r="AC94" s="3767"/>
      <c r="AD94" s="3767"/>
    </row>
    <row r="95" spans="1:30" s="2053" customFormat="1">
      <c r="A95" s="2055" t="s">
        <v>28</v>
      </c>
      <c r="B95" s="1860"/>
      <c r="C95" s="1861"/>
      <c r="D95" s="1862"/>
      <c r="E95" s="1861"/>
      <c r="F95" s="1862"/>
      <c r="G95" s="1861"/>
      <c r="H95" s="1862"/>
      <c r="I95" s="1861"/>
      <c r="J95" s="1862"/>
      <c r="K95" s="1861"/>
      <c r="L95" s="1862"/>
      <c r="M95" s="1861"/>
      <c r="N95" s="962"/>
      <c r="O95" s="963"/>
      <c r="P95" s="962"/>
      <c r="Q95" s="963"/>
      <c r="R95" s="964"/>
      <c r="S95" s="2749"/>
      <c r="T95" s="3170"/>
      <c r="U95" s="3170"/>
      <c r="V95" s="3170"/>
      <c r="W95" s="3170"/>
      <c r="X95" s="3170"/>
      <c r="Y95" s="3170"/>
      <c r="Z95" s="3170"/>
      <c r="AA95" s="3170"/>
      <c r="AB95" s="3170"/>
      <c r="AC95" s="3170"/>
      <c r="AD95" s="3170"/>
    </row>
    <row r="96" spans="1:30" s="2053" customFormat="1" ht="13.8" thickBot="1">
      <c r="A96" s="2055"/>
      <c r="B96" s="1860"/>
      <c r="C96" s="1861"/>
      <c r="D96" s="1862"/>
      <c r="E96" s="1861"/>
      <c r="F96" s="1862"/>
      <c r="G96" s="1861"/>
      <c r="H96" s="1862"/>
      <c r="I96" s="1861"/>
      <c r="J96" s="1862"/>
      <c r="K96" s="1861"/>
      <c r="L96" s="1862"/>
      <c r="M96" s="1861"/>
      <c r="N96" s="962"/>
      <c r="O96" s="963"/>
      <c r="P96" s="962"/>
      <c r="Q96" s="963"/>
      <c r="R96" s="964"/>
      <c r="S96" s="2749"/>
      <c r="T96" s="3170"/>
      <c r="U96" s="3170"/>
      <c r="V96" s="3170"/>
      <c r="W96" s="3170"/>
      <c r="X96" s="3170"/>
      <c r="Y96" s="3170"/>
      <c r="Z96" s="3170"/>
      <c r="AA96" s="3170"/>
      <c r="AB96" s="3170"/>
      <c r="AC96" s="3170"/>
      <c r="AD96" s="3170"/>
    </row>
    <row r="97" spans="1:30" s="2053" customFormat="1">
      <c r="A97" s="2055" t="s">
        <v>65</v>
      </c>
      <c r="B97" s="1863"/>
      <c r="C97" s="1864"/>
      <c r="D97" s="1865"/>
      <c r="E97" s="1864"/>
      <c r="F97" s="1865"/>
      <c r="G97" s="1864"/>
      <c r="H97" s="1865"/>
      <c r="I97" s="1864"/>
      <c r="J97" s="1865"/>
      <c r="K97" s="1864"/>
      <c r="L97" s="1865"/>
      <c r="M97" s="1864"/>
      <c r="N97" s="962"/>
      <c r="O97" s="963"/>
      <c r="P97" s="962"/>
      <c r="Q97" s="963"/>
      <c r="R97" s="964"/>
      <c r="S97" s="2749"/>
      <c r="T97" s="4483" t="s">
        <v>469</v>
      </c>
      <c r="U97" s="4484"/>
      <c r="V97" s="4484"/>
      <c r="W97" s="4484"/>
      <c r="X97" s="4484"/>
      <c r="Y97" s="4484"/>
      <c r="Z97" s="4484"/>
      <c r="AA97" s="4484"/>
      <c r="AB97" s="4484"/>
      <c r="AC97" s="4484"/>
      <c r="AD97" s="4485"/>
    </row>
    <row r="98" spans="1:30" s="2053" customFormat="1" ht="13.8" thickBot="1">
      <c r="A98" s="2055"/>
      <c r="B98" s="1863"/>
      <c r="C98" s="1864"/>
      <c r="D98" s="1865"/>
      <c r="E98" s="1864"/>
      <c r="F98" s="1865"/>
      <c r="G98" s="1864"/>
      <c r="H98" s="1865"/>
      <c r="I98" s="1864"/>
      <c r="J98" s="1865"/>
      <c r="K98" s="1864"/>
      <c r="L98" s="1865"/>
      <c r="M98" s="1864"/>
      <c r="N98" s="962"/>
      <c r="O98" s="965"/>
      <c r="P98" s="962"/>
      <c r="Q98" s="965"/>
      <c r="R98" s="964"/>
      <c r="S98" s="2749"/>
      <c r="T98" s="3052">
        <v>2006</v>
      </c>
      <c r="U98" s="3032"/>
      <c r="V98" s="3032">
        <v>2007</v>
      </c>
      <c r="W98" s="3032"/>
      <c r="X98" s="3032">
        <v>2008</v>
      </c>
      <c r="Y98" s="3032"/>
      <c r="Z98" s="3032">
        <v>2009</v>
      </c>
      <c r="AA98" s="3032"/>
      <c r="AB98" s="3032">
        <v>2010</v>
      </c>
      <c r="AC98" s="3032"/>
      <c r="AD98" s="3545">
        <v>2011</v>
      </c>
    </row>
    <row r="99" spans="1:30" s="2053" customFormat="1" ht="13.8" thickBot="1">
      <c r="A99" s="2056" t="s">
        <v>29</v>
      </c>
      <c r="B99" s="2081">
        <v>88</v>
      </c>
      <c r="C99" s="2079"/>
      <c r="D99" s="2082">
        <v>79</v>
      </c>
      <c r="E99" s="2079"/>
      <c r="F99" s="2082">
        <v>105</v>
      </c>
      <c r="G99" s="2079"/>
      <c r="H99" s="2082">
        <v>84</v>
      </c>
      <c r="I99" s="2079"/>
      <c r="J99" s="2082">
        <v>97</v>
      </c>
      <c r="K99" s="2079"/>
      <c r="L99" s="2082">
        <v>153</v>
      </c>
      <c r="M99" s="1866"/>
      <c r="N99" s="966">
        <f>AVERAGE(B99:F99)</f>
        <v>90.666666666666671</v>
      </c>
      <c r="O99" s="967"/>
      <c r="P99" s="966">
        <f>AVERAGE(H99:L99)</f>
        <v>111.33333333333333</v>
      </c>
      <c r="Q99" s="967"/>
      <c r="R99" s="968">
        <f>P99-N99</f>
        <v>20.666666666666657</v>
      </c>
      <c r="S99" s="2749"/>
      <c r="T99" s="3837">
        <v>697</v>
      </c>
      <c r="U99" s="3167"/>
      <c r="V99" s="3167">
        <v>767</v>
      </c>
      <c r="W99" s="3167"/>
      <c r="X99" s="3167">
        <v>841</v>
      </c>
      <c r="Y99" s="3167"/>
      <c r="Z99" s="3167">
        <v>833</v>
      </c>
      <c r="AA99" s="3167"/>
      <c r="AB99" s="3167">
        <v>1078</v>
      </c>
      <c r="AC99" s="3167"/>
      <c r="AD99" s="3838">
        <v>1356</v>
      </c>
    </row>
    <row r="100" spans="1:30" s="2053" customFormat="1" ht="14.4" thickTop="1" thickBot="1">
      <c r="A100" s="2065" t="s">
        <v>32</v>
      </c>
      <c r="B100" s="1857">
        <f>SUM(B95:B99)</f>
        <v>88</v>
      </c>
      <c r="C100" s="1859"/>
      <c r="D100" s="1858">
        <f>SUM(D95:D99)</f>
        <v>79</v>
      </c>
      <c r="E100" s="1859"/>
      <c r="F100" s="1858">
        <f>SUM(F95:F99)</f>
        <v>105</v>
      </c>
      <c r="G100" s="1859"/>
      <c r="H100" s="1858">
        <f>SUM(H95:H99)</f>
        <v>84</v>
      </c>
      <c r="I100" s="1859"/>
      <c r="J100" s="1858">
        <f>SUM(J95:J99)</f>
        <v>97</v>
      </c>
      <c r="K100" s="1859"/>
      <c r="L100" s="1858">
        <f>SUM(L95:L99)</f>
        <v>153</v>
      </c>
      <c r="M100" s="1859"/>
      <c r="N100" s="969">
        <f>AVERAGE(B100:F100)</f>
        <v>90.666666666666671</v>
      </c>
      <c r="O100" s="970"/>
      <c r="P100" s="969">
        <f>AVERAGE(H100:L100)</f>
        <v>111.33333333333333</v>
      </c>
      <c r="Q100" s="970"/>
      <c r="R100" s="971">
        <f>P100-N100</f>
        <v>20.666666666666657</v>
      </c>
      <c r="S100" s="2749"/>
      <c r="T100" s="3839">
        <f>B100/T99</f>
        <v>0.12625538020086083</v>
      </c>
      <c r="U100" s="3840"/>
      <c r="V100" s="3840">
        <f>D100/V99</f>
        <v>0.10299869621903521</v>
      </c>
      <c r="W100" s="3840"/>
      <c r="X100" s="3840">
        <f>F100/X99</f>
        <v>0.1248513674197384</v>
      </c>
      <c r="Y100" s="3840"/>
      <c r="Z100" s="3840">
        <f>H100/Z99</f>
        <v>0.10084033613445378</v>
      </c>
      <c r="AA100" s="3840"/>
      <c r="AB100" s="3840">
        <f>J100/AB99</f>
        <v>8.9981447124304267E-2</v>
      </c>
      <c r="AC100" s="3840"/>
      <c r="AD100" s="3841">
        <f>L100/AD99</f>
        <v>0.11283185840707964</v>
      </c>
    </row>
    <row r="101" spans="1:30" s="2383" customFormat="1" ht="13.8" thickBot="1">
      <c r="A101" s="2386"/>
      <c r="F101" s="2384"/>
      <c r="N101" s="957"/>
      <c r="O101" s="957"/>
      <c r="P101" s="957"/>
      <c r="Q101" s="957"/>
      <c r="R101" s="957"/>
      <c r="S101" s="2749"/>
      <c r="T101" s="3170"/>
      <c r="U101" s="3170"/>
      <c r="V101" s="3170"/>
      <c r="W101" s="3170"/>
      <c r="X101" s="3170"/>
      <c r="Y101" s="3170"/>
      <c r="Z101" s="3170"/>
      <c r="AA101" s="3170"/>
      <c r="AB101" s="3170"/>
      <c r="AC101" s="3170"/>
      <c r="AD101" s="3170"/>
    </row>
    <row r="102" spans="1:30" s="2385" customFormat="1" ht="27" customHeight="1" thickBot="1">
      <c r="A102" s="442" t="s">
        <v>217</v>
      </c>
      <c r="B102" s="2391" t="s">
        <v>2</v>
      </c>
      <c r="C102" s="2294"/>
      <c r="D102" s="2392" t="s">
        <v>3</v>
      </c>
      <c r="E102" s="2294"/>
      <c r="F102" s="2393" t="s">
        <v>4</v>
      </c>
      <c r="G102" s="2294"/>
      <c r="H102" s="2390" t="s">
        <v>5</v>
      </c>
      <c r="I102" s="2294"/>
      <c r="J102" s="2390" t="s">
        <v>6</v>
      </c>
      <c r="K102" s="2294"/>
      <c r="L102" s="2390" t="s">
        <v>7</v>
      </c>
      <c r="M102" s="2294"/>
      <c r="N102" s="959" t="s">
        <v>33</v>
      </c>
      <c r="O102" s="960"/>
      <c r="P102" s="959" t="s">
        <v>34</v>
      </c>
      <c r="Q102" s="960"/>
      <c r="R102" s="961" t="s">
        <v>35</v>
      </c>
      <c r="S102" s="3239"/>
      <c r="T102" s="3767"/>
      <c r="U102" s="3767"/>
      <c r="V102" s="3767"/>
      <c r="W102" s="3767"/>
      <c r="X102" s="3767"/>
      <c r="Y102" s="3767"/>
      <c r="Z102" s="3767"/>
      <c r="AA102" s="3767"/>
      <c r="AB102" s="3767"/>
      <c r="AC102" s="3767"/>
      <c r="AD102" s="3767"/>
    </row>
    <row r="103" spans="1:30" s="2383" customFormat="1">
      <c r="A103" s="2388" t="s">
        <v>28</v>
      </c>
      <c r="B103" s="2396"/>
      <c r="C103" s="2299"/>
      <c r="D103" s="2397"/>
      <c r="E103" s="2299"/>
      <c r="F103" s="2397"/>
      <c r="G103" s="2299"/>
      <c r="H103" s="2397"/>
      <c r="I103" s="2299"/>
      <c r="J103" s="2397"/>
      <c r="K103" s="2299"/>
      <c r="L103" s="2397"/>
      <c r="M103" s="2299"/>
      <c r="N103" s="962"/>
      <c r="O103" s="963"/>
      <c r="P103" s="962"/>
      <c r="Q103" s="963"/>
      <c r="R103" s="964"/>
      <c r="S103" s="2749"/>
      <c r="T103" s="3170"/>
      <c r="U103" s="3170"/>
      <c r="V103" s="3170"/>
      <c r="W103" s="3170"/>
      <c r="X103" s="3170"/>
      <c r="Y103" s="3170"/>
      <c r="Z103" s="3170"/>
      <c r="AA103" s="3170"/>
      <c r="AB103" s="3170"/>
      <c r="AC103" s="3170"/>
      <c r="AD103" s="3170"/>
    </row>
    <row r="104" spans="1:30" s="2383" customFormat="1" ht="13.8" thickBot="1">
      <c r="A104" s="2388"/>
      <c r="B104" s="2396"/>
      <c r="C104" s="2299"/>
      <c r="D104" s="2397"/>
      <c r="E104" s="2299"/>
      <c r="F104" s="2397"/>
      <c r="G104" s="2299"/>
      <c r="H104" s="2397"/>
      <c r="I104" s="2299"/>
      <c r="J104" s="2397"/>
      <c r="K104" s="2299"/>
      <c r="L104" s="2397"/>
      <c r="M104" s="2299"/>
      <c r="N104" s="962"/>
      <c r="O104" s="963"/>
      <c r="P104" s="962"/>
      <c r="Q104" s="963"/>
      <c r="R104" s="964"/>
      <c r="S104" s="2749"/>
      <c r="T104" s="3170"/>
      <c r="U104" s="3170"/>
      <c r="V104" s="3170"/>
      <c r="W104" s="3170"/>
      <c r="X104" s="3170"/>
      <c r="Y104" s="3170"/>
      <c r="Z104" s="3170"/>
      <c r="AA104" s="3170"/>
      <c r="AB104" s="3170"/>
      <c r="AC104" s="3170"/>
      <c r="AD104" s="3170"/>
    </row>
    <row r="105" spans="1:30" s="2383" customFormat="1">
      <c r="A105" s="2388" t="s">
        <v>65</v>
      </c>
      <c r="B105" s="2398"/>
      <c r="C105" s="2301"/>
      <c r="D105" s="2400"/>
      <c r="E105" s="2301"/>
      <c r="F105" s="2400"/>
      <c r="G105" s="2301"/>
      <c r="H105" s="2400"/>
      <c r="I105" s="2301"/>
      <c r="J105" s="2400"/>
      <c r="K105" s="2301"/>
      <c r="L105" s="2400"/>
      <c r="M105" s="2301"/>
      <c r="N105" s="962"/>
      <c r="O105" s="963"/>
      <c r="P105" s="962"/>
      <c r="Q105" s="963"/>
      <c r="R105" s="964"/>
      <c r="S105" s="2749"/>
      <c r="T105" s="4483" t="s">
        <v>469</v>
      </c>
      <c r="U105" s="4484"/>
      <c r="V105" s="4484"/>
      <c r="W105" s="4484"/>
      <c r="X105" s="4484"/>
      <c r="Y105" s="4484"/>
      <c r="Z105" s="4484"/>
      <c r="AA105" s="4484"/>
      <c r="AB105" s="4484"/>
      <c r="AC105" s="4484"/>
      <c r="AD105" s="4485"/>
    </row>
    <row r="106" spans="1:30" s="2383" customFormat="1" ht="13.8" thickBot="1">
      <c r="A106" s="2388"/>
      <c r="B106" s="2398"/>
      <c r="C106" s="2301"/>
      <c r="D106" s="2400"/>
      <c r="E106" s="2301"/>
      <c r="F106" s="2400"/>
      <c r="G106" s="2301"/>
      <c r="H106" s="2400"/>
      <c r="I106" s="2301"/>
      <c r="J106" s="2400"/>
      <c r="K106" s="2301"/>
      <c r="L106" s="2400"/>
      <c r="M106" s="2301"/>
      <c r="N106" s="962"/>
      <c r="O106" s="965"/>
      <c r="P106" s="962"/>
      <c r="Q106" s="965"/>
      <c r="R106" s="964"/>
      <c r="S106" s="2749"/>
      <c r="T106" s="3052">
        <v>2006</v>
      </c>
      <c r="U106" s="3032"/>
      <c r="V106" s="3032">
        <v>2007</v>
      </c>
      <c r="W106" s="3032"/>
      <c r="X106" s="3032">
        <v>2008</v>
      </c>
      <c r="Y106" s="3032"/>
      <c r="Z106" s="3032">
        <v>2009</v>
      </c>
      <c r="AA106" s="3032"/>
      <c r="AB106" s="3032">
        <v>2010</v>
      </c>
      <c r="AC106" s="3032"/>
      <c r="AD106" s="3545">
        <v>2011</v>
      </c>
    </row>
    <row r="107" spans="1:30" s="2383" customFormat="1" ht="13.8" thickBot="1">
      <c r="A107" s="2389" t="s">
        <v>29</v>
      </c>
      <c r="B107" s="2413">
        <v>251</v>
      </c>
      <c r="C107" s="2414"/>
      <c r="D107" s="2415">
        <v>250</v>
      </c>
      <c r="E107" s="2414"/>
      <c r="F107" s="2415">
        <v>306</v>
      </c>
      <c r="G107" s="2414"/>
      <c r="H107" s="2415">
        <v>293</v>
      </c>
      <c r="I107" s="2414"/>
      <c r="J107" s="2415">
        <v>283</v>
      </c>
      <c r="K107" s="2414"/>
      <c r="L107" s="2415">
        <v>337</v>
      </c>
      <c r="M107" s="1866"/>
      <c r="N107" s="966">
        <f>AVERAGE(B107:F107)</f>
        <v>269</v>
      </c>
      <c r="O107" s="967"/>
      <c r="P107" s="966">
        <f>AVERAGE(H107:L107)</f>
        <v>304.33333333333331</v>
      </c>
      <c r="Q107" s="967"/>
      <c r="R107" s="968">
        <f>P107-N107</f>
        <v>35.333333333333314</v>
      </c>
      <c r="S107" s="2749"/>
      <c r="T107" s="3837">
        <v>2076</v>
      </c>
      <c r="U107" s="3167"/>
      <c r="V107" s="3167">
        <v>2051</v>
      </c>
      <c r="W107" s="3167"/>
      <c r="X107" s="3167">
        <v>2063</v>
      </c>
      <c r="Y107" s="3167"/>
      <c r="Z107" s="3167">
        <v>2093</v>
      </c>
      <c r="AA107" s="3167"/>
      <c r="AB107" s="3167">
        <v>2523</v>
      </c>
      <c r="AC107" s="3167"/>
      <c r="AD107" s="3838">
        <v>3157</v>
      </c>
    </row>
    <row r="108" spans="1:30" s="2383" customFormat="1" ht="14.4" thickTop="1" thickBot="1">
      <c r="A108" s="2387" t="s">
        <v>32</v>
      </c>
      <c r="B108" s="2394">
        <f>SUM(B103:B107)</f>
        <v>251</v>
      </c>
      <c r="C108" s="1859"/>
      <c r="D108" s="2395">
        <f>SUM(D103:D107)</f>
        <v>250</v>
      </c>
      <c r="E108" s="1859"/>
      <c r="F108" s="2395">
        <f>SUM(F103:F107)</f>
        <v>306</v>
      </c>
      <c r="G108" s="1859"/>
      <c r="H108" s="2395">
        <f>SUM(H103:H107)</f>
        <v>293</v>
      </c>
      <c r="I108" s="1859"/>
      <c r="J108" s="2395">
        <f>SUM(J103:J107)</f>
        <v>283</v>
      </c>
      <c r="K108" s="1859"/>
      <c r="L108" s="2395">
        <f>SUM(L103:L107)</f>
        <v>337</v>
      </c>
      <c r="M108" s="1859"/>
      <c r="N108" s="969">
        <f>AVERAGE(B108:F108)</f>
        <v>269</v>
      </c>
      <c r="O108" s="970"/>
      <c r="P108" s="969">
        <f>AVERAGE(H108:L108)</f>
        <v>304.33333333333331</v>
      </c>
      <c r="Q108" s="970"/>
      <c r="R108" s="971">
        <f>P108-N108</f>
        <v>35.333333333333314</v>
      </c>
      <c r="S108" s="2749"/>
      <c r="T108" s="3839">
        <f>B108/T107</f>
        <v>0.12090558766859345</v>
      </c>
      <c r="U108" s="3840"/>
      <c r="V108" s="3840">
        <f>D108/V107</f>
        <v>0.12189176011701609</v>
      </c>
      <c r="W108" s="3840"/>
      <c r="X108" s="3840">
        <f>F108/X107</f>
        <v>0.14832767813863307</v>
      </c>
      <c r="Y108" s="3840"/>
      <c r="Z108" s="3840">
        <f>H108/Z107</f>
        <v>0.13999044433827043</v>
      </c>
      <c r="AA108" s="3840"/>
      <c r="AB108" s="3840">
        <f>J108/AB107</f>
        <v>0.11216805390408244</v>
      </c>
      <c r="AC108" s="3840"/>
      <c r="AD108" s="3841">
        <f>L108/AD107</f>
        <v>0.1067469116249604</v>
      </c>
    </row>
    <row r="109" spans="1:30" s="2516" customFormat="1" ht="13.8" thickBot="1">
      <c r="A109" s="2519"/>
      <c r="F109" s="2517"/>
      <c r="N109" s="957"/>
      <c r="O109" s="957"/>
      <c r="P109" s="957"/>
      <c r="Q109" s="957"/>
      <c r="R109" s="957"/>
      <c r="S109" s="2749"/>
      <c r="T109" s="3170"/>
      <c r="U109" s="3170"/>
      <c r="V109" s="3170"/>
      <c r="W109" s="3170"/>
      <c r="X109" s="3170"/>
      <c r="Y109" s="3170"/>
      <c r="Z109" s="3170"/>
      <c r="AA109" s="3170"/>
      <c r="AB109" s="3170"/>
      <c r="AC109" s="3170"/>
      <c r="AD109" s="3170"/>
    </row>
    <row r="110" spans="1:30" s="2518" customFormat="1" ht="27" customHeight="1" thickBot="1">
      <c r="A110" s="442" t="s">
        <v>224</v>
      </c>
      <c r="B110" s="2524" t="s">
        <v>2</v>
      </c>
      <c r="C110" s="2525"/>
      <c r="D110" s="2526" t="s">
        <v>3</v>
      </c>
      <c r="E110" s="2525"/>
      <c r="F110" s="2527" t="s">
        <v>4</v>
      </c>
      <c r="G110" s="2525"/>
      <c r="H110" s="2523" t="s">
        <v>5</v>
      </c>
      <c r="I110" s="2525"/>
      <c r="J110" s="2523" t="s">
        <v>6</v>
      </c>
      <c r="K110" s="2525"/>
      <c r="L110" s="2523" t="s">
        <v>7</v>
      </c>
      <c r="M110" s="2525"/>
      <c r="N110" s="959" t="s">
        <v>33</v>
      </c>
      <c r="O110" s="960"/>
      <c r="P110" s="959" t="s">
        <v>34</v>
      </c>
      <c r="Q110" s="960"/>
      <c r="R110" s="961" t="s">
        <v>35</v>
      </c>
      <c r="S110" s="3239"/>
      <c r="T110" s="3767"/>
      <c r="U110" s="3767"/>
      <c r="V110" s="3767"/>
      <c r="W110" s="3767"/>
      <c r="X110" s="3767"/>
      <c r="Y110" s="3767"/>
      <c r="Z110" s="3767"/>
      <c r="AA110" s="3767"/>
      <c r="AB110" s="3767"/>
      <c r="AC110" s="3767"/>
      <c r="AD110" s="3767"/>
    </row>
    <row r="111" spans="1:30" s="2516" customFormat="1">
      <c r="A111" s="2521" t="s">
        <v>28</v>
      </c>
      <c r="B111" s="2531"/>
      <c r="C111" s="2532"/>
      <c r="D111" s="2533"/>
      <c r="E111" s="2532"/>
      <c r="F111" s="2533"/>
      <c r="G111" s="2532"/>
      <c r="H111" s="2533"/>
      <c r="I111" s="2532"/>
      <c r="J111" s="2533"/>
      <c r="K111" s="2532"/>
      <c r="L111" s="2533"/>
      <c r="M111" s="2532"/>
      <c r="N111" s="962"/>
      <c r="O111" s="963"/>
      <c r="P111" s="962"/>
      <c r="Q111" s="963"/>
      <c r="R111" s="964"/>
      <c r="S111" s="2749"/>
      <c r="T111" s="3170"/>
      <c r="U111" s="3170"/>
      <c r="V111" s="3170"/>
      <c r="W111" s="3170"/>
      <c r="X111" s="3170"/>
      <c r="Y111" s="3170"/>
      <c r="Z111" s="3170"/>
      <c r="AA111" s="3170"/>
      <c r="AB111" s="3170"/>
      <c r="AC111" s="3170"/>
      <c r="AD111" s="3170"/>
    </row>
    <row r="112" spans="1:30" s="2516" customFormat="1" ht="13.8" thickBot="1">
      <c r="A112" s="2521"/>
      <c r="B112" s="2531"/>
      <c r="C112" s="2532"/>
      <c r="D112" s="2533"/>
      <c r="E112" s="2532"/>
      <c r="F112" s="2533"/>
      <c r="G112" s="2532"/>
      <c r="H112" s="2533"/>
      <c r="I112" s="2532"/>
      <c r="J112" s="2533"/>
      <c r="K112" s="2532"/>
      <c r="L112" s="2533"/>
      <c r="M112" s="2532"/>
      <c r="N112" s="962"/>
      <c r="O112" s="963"/>
      <c r="P112" s="962"/>
      <c r="Q112" s="963"/>
      <c r="R112" s="964"/>
      <c r="S112" s="2749"/>
      <c r="T112" s="3170"/>
      <c r="U112" s="3170"/>
      <c r="V112" s="3170"/>
      <c r="W112" s="3170"/>
      <c r="X112" s="3170"/>
      <c r="Y112" s="3170"/>
      <c r="Z112" s="3170"/>
      <c r="AA112" s="3170"/>
      <c r="AB112" s="3170"/>
      <c r="AC112" s="3170"/>
      <c r="AD112" s="3170"/>
    </row>
    <row r="113" spans="1:30" s="2516" customFormat="1">
      <c r="A113" s="2521" t="s">
        <v>65</v>
      </c>
      <c r="B113" s="2534"/>
      <c r="C113" s="2535"/>
      <c r="D113" s="2536"/>
      <c r="E113" s="2535"/>
      <c r="F113" s="2536"/>
      <c r="G113" s="2535"/>
      <c r="H113" s="2536"/>
      <c r="I113" s="2535"/>
      <c r="J113" s="2536"/>
      <c r="K113" s="2535"/>
      <c r="L113" s="2536"/>
      <c r="M113" s="2535"/>
      <c r="N113" s="962"/>
      <c r="O113" s="963"/>
      <c r="P113" s="962"/>
      <c r="Q113" s="963"/>
      <c r="R113" s="964"/>
      <c r="S113" s="2749"/>
      <c r="T113" s="4483" t="s">
        <v>469</v>
      </c>
      <c r="U113" s="4484"/>
      <c r="V113" s="4484"/>
      <c r="W113" s="4484"/>
      <c r="X113" s="4484"/>
      <c r="Y113" s="4484"/>
      <c r="Z113" s="4484"/>
      <c r="AA113" s="4484"/>
      <c r="AB113" s="4484"/>
      <c r="AC113" s="4484"/>
      <c r="AD113" s="4485"/>
    </row>
    <row r="114" spans="1:30" s="2516" customFormat="1" ht="13.8" thickBot="1">
      <c r="A114" s="2521"/>
      <c r="B114" s="2534"/>
      <c r="C114" s="2535"/>
      <c r="D114" s="2536"/>
      <c r="E114" s="2535"/>
      <c r="F114" s="2536"/>
      <c r="G114" s="2535"/>
      <c r="H114" s="2536"/>
      <c r="I114" s="2535"/>
      <c r="J114" s="2536"/>
      <c r="K114" s="2535"/>
      <c r="L114" s="2536"/>
      <c r="M114" s="2535"/>
      <c r="N114" s="962"/>
      <c r="O114" s="965"/>
      <c r="P114" s="962"/>
      <c r="Q114" s="965"/>
      <c r="R114" s="964"/>
      <c r="S114" s="2749"/>
      <c r="T114" s="3052">
        <v>2006</v>
      </c>
      <c r="U114" s="3032"/>
      <c r="V114" s="3032">
        <v>2007</v>
      </c>
      <c r="W114" s="3032"/>
      <c r="X114" s="3032">
        <v>2008</v>
      </c>
      <c r="Y114" s="3032"/>
      <c r="Z114" s="3032">
        <v>2009</v>
      </c>
      <c r="AA114" s="3032"/>
      <c r="AB114" s="3032">
        <v>2010</v>
      </c>
      <c r="AC114" s="3032"/>
      <c r="AD114" s="3545">
        <v>2011</v>
      </c>
    </row>
    <row r="115" spans="1:30" s="2516" customFormat="1" ht="13.8" thickBot="1">
      <c r="A115" s="2522" t="s">
        <v>29</v>
      </c>
      <c r="B115" s="2560">
        <v>549</v>
      </c>
      <c r="C115" s="2561"/>
      <c r="D115" s="2562">
        <v>559</v>
      </c>
      <c r="E115" s="2561"/>
      <c r="F115" s="2562">
        <v>536</v>
      </c>
      <c r="G115" s="2561"/>
      <c r="H115" s="2562">
        <v>505</v>
      </c>
      <c r="I115" s="2561"/>
      <c r="J115" s="2562">
        <v>598</v>
      </c>
      <c r="K115" s="2561"/>
      <c r="L115" s="2562">
        <v>761</v>
      </c>
      <c r="M115" s="2537"/>
      <c r="N115" s="966">
        <f>AVERAGE(B115:F115)</f>
        <v>548</v>
      </c>
      <c r="O115" s="967"/>
      <c r="P115" s="966">
        <f>AVERAGE(H115:L115)</f>
        <v>621.33333333333337</v>
      </c>
      <c r="Q115" s="967"/>
      <c r="R115" s="968">
        <f>P115-N115</f>
        <v>73.333333333333371</v>
      </c>
      <c r="S115" s="2749"/>
      <c r="T115" s="3837">
        <v>3170</v>
      </c>
      <c r="U115" s="3167"/>
      <c r="V115" s="3167">
        <v>3243</v>
      </c>
      <c r="W115" s="3167"/>
      <c r="X115" s="3167">
        <v>3361</v>
      </c>
      <c r="Y115" s="3167"/>
      <c r="Z115" s="3167">
        <v>3433</v>
      </c>
      <c r="AA115" s="3167"/>
      <c r="AB115" s="3167">
        <v>4416</v>
      </c>
      <c r="AC115" s="3167"/>
      <c r="AD115" s="3838">
        <v>5256</v>
      </c>
    </row>
    <row r="116" spans="1:30" s="2516" customFormat="1" ht="14.4" thickTop="1" thickBot="1">
      <c r="A116" s="2520" t="s">
        <v>32</v>
      </c>
      <c r="B116" s="2528">
        <f>SUM(B111:B115)</f>
        <v>549</v>
      </c>
      <c r="C116" s="2530"/>
      <c r="D116" s="2529">
        <f>SUM(D111:D115)</f>
        <v>559</v>
      </c>
      <c r="E116" s="2530"/>
      <c r="F116" s="2529">
        <f>SUM(F111:F115)</f>
        <v>536</v>
      </c>
      <c r="G116" s="2530"/>
      <c r="H116" s="2529">
        <f>SUM(H111:H115)</f>
        <v>505</v>
      </c>
      <c r="I116" s="2530"/>
      <c r="J116" s="2529">
        <f>SUM(J111:J115)</f>
        <v>598</v>
      </c>
      <c r="K116" s="2530"/>
      <c r="L116" s="2529">
        <f>SUM(L111:L115)</f>
        <v>761</v>
      </c>
      <c r="M116" s="2530"/>
      <c r="N116" s="969">
        <f>AVERAGE(B116:F116)</f>
        <v>548</v>
      </c>
      <c r="O116" s="970"/>
      <c r="P116" s="969">
        <f>AVERAGE(H116:L116)</f>
        <v>621.33333333333337</v>
      </c>
      <c r="Q116" s="970"/>
      <c r="R116" s="971">
        <f>P116-N116</f>
        <v>73.333333333333371</v>
      </c>
      <c r="S116" s="2749"/>
      <c r="T116" s="3839">
        <f>B116/T115</f>
        <v>0.17318611987381705</v>
      </c>
      <c r="U116" s="3840"/>
      <c r="V116" s="3840">
        <f>D116/V115</f>
        <v>0.17237126117792168</v>
      </c>
      <c r="W116" s="3840"/>
      <c r="X116" s="3840">
        <f>F116/X115</f>
        <v>0.15947634632549837</v>
      </c>
      <c r="Y116" s="3840"/>
      <c r="Z116" s="3840">
        <f>H116/Z115</f>
        <v>0.14710166035537431</v>
      </c>
      <c r="AA116" s="3840"/>
      <c r="AB116" s="3840">
        <f>J116/AB115</f>
        <v>0.13541666666666666</v>
      </c>
      <c r="AC116" s="3840"/>
      <c r="AD116" s="3841">
        <f>L116/AD115</f>
        <v>0.1447869101978691</v>
      </c>
    </row>
    <row r="117" spans="1:30" s="2697" customFormat="1" ht="13.8" thickBot="1">
      <c r="A117" s="2712"/>
      <c r="F117" s="2713"/>
      <c r="N117" s="957"/>
      <c r="O117" s="957"/>
      <c r="P117" s="957"/>
      <c r="Q117" s="957"/>
      <c r="R117" s="957"/>
      <c r="S117" s="2749"/>
      <c r="T117" s="3170"/>
      <c r="U117" s="3170"/>
      <c r="V117" s="3170"/>
      <c r="W117" s="3170"/>
      <c r="X117" s="3170"/>
      <c r="Y117" s="3170"/>
      <c r="Z117" s="3170"/>
      <c r="AA117" s="3170"/>
      <c r="AB117" s="3170"/>
      <c r="AC117" s="3170"/>
      <c r="AD117" s="3170"/>
    </row>
    <row r="118" spans="1:30" s="2703" customFormat="1" ht="27" customHeight="1" thickBot="1">
      <c r="A118" s="442" t="s">
        <v>225</v>
      </c>
      <c r="B118" s="2698" t="s">
        <v>2</v>
      </c>
      <c r="C118" s="2699"/>
      <c r="D118" s="2700" t="s">
        <v>3</v>
      </c>
      <c r="E118" s="2699"/>
      <c r="F118" s="2701" t="s">
        <v>4</v>
      </c>
      <c r="G118" s="2699"/>
      <c r="H118" s="2702" t="s">
        <v>5</v>
      </c>
      <c r="I118" s="2699"/>
      <c r="J118" s="2702" t="s">
        <v>6</v>
      </c>
      <c r="K118" s="2699"/>
      <c r="L118" s="2702" t="s">
        <v>7</v>
      </c>
      <c r="M118" s="2699"/>
      <c r="N118" s="959" t="s">
        <v>33</v>
      </c>
      <c r="O118" s="960"/>
      <c r="P118" s="959" t="s">
        <v>34</v>
      </c>
      <c r="Q118" s="960"/>
      <c r="R118" s="961" t="s">
        <v>35</v>
      </c>
      <c r="S118" s="3239"/>
      <c r="T118" s="3767"/>
      <c r="U118" s="3767"/>
      <c r="V118" s="3767"/>
      <c r="W118" s="3767"/>
      <c r="X118" s="3767"/>
      <c r="Y118" s="3767"/>
      <c r="Z118" s="3767"/>
      <c r="AA118" s="3767"/>
      <c r="AB118" s="3767"/>
      <c r="AC118" s="3767"/>
      <c r="AD118" s="3767"/>
    </row>
    <row r="119" spans="1:30" s="2697" customFormat="1">
      <c r="A119" s="2704" t="s">
        <v>28</v>
      </c>
      <c r="B119" s="2616"/>
      <c r="C119" s="2617"/>
      <c r="D119" s="2618"/>
      <c r="E119" s="2617"/>
      <c r="F119" s="2618"/>
      <c r="G119" s="2617"/>
      <c r="H119" s="2618"/>
      <c r="I119" s="2617"/>
      <c r="J119" s="2618"/>
      <c r="K119" s="2617"/>
      <c r="L119" s="2618"/>
      <c r="M119" s="2617"/>
      <c r="N119" s="962"/>
      <c r="O119" s="963"/>
      <c r="P119" s="962"/>
      <c r="Q119" s="963"/>
      <c r="R119" s="964"/>
      <c r="S119" s="2749"/>
      <c r="T119" s="3170"/>
      <c r="U119" s="3170"/>
      <c r="V119" s="3170"/>
      <c r="W119" s="3170"/>
      <c r="X119" s="3170"/>
      <c r="Y119" s="3170"/>
      <c r="Z119" s="3170"/>
      <c r="AA119" s="3170"/>
      <c r="AB119" s="3170"/>
      <c r="AC119" s="3170"/>
      <c r="AD119" s="3170"/>
    </row>
    <row r="120" spans="1:30" s="2697" customFormat="1" ht="13.8" thickBot="1">
      <c r="A120" s="2704"/>
      <c r="B120" s="2616"/>
      <c r="C120" s="2617"/>
      <c r="D120" s="2618"/>
      <c r="E120" s="2617"/>
      <c r="F120" s="2618"/>
      <c r="G120" s="2617"/>
      <c r="H120" s="2618"/>
      <c r="I120" s="2617"/>
      <c r="J120" s="2618"/>
      <c r="K120" s="2617"/>
      <c r="L120" s="2618"/>
      <c r="M120" s="2617"/>
      <c r="N120" s="962"/>
      <c r="O120" s="963"/>
      <c r="P120" s="962"/>
      <c r="Q120" s="963"/>
      <c r="R120" s="964"/>
      <c r="S120" s="2749"/>
      <c r="T120" s="3170"/>
      <c r="U120" s="3170"/>
      <c r="V120" s="3170"/>
      <c r="W120" s="3170"/>
      <c r="X120" s="3170"/>
      <c r="Y120" s="3170"/>
      <c r="Z120" s="3170"/>
      <c r="AA120" s="3170"/>
      <c r="AB120" s="3170"/>
      <c r="AC120" s="3170"/>
      <c r="AD120" s="3170"/>
    </row>
    <row r="121" spans="1:30" s="2697" customFormat="1">
      <c r="A121" s="2704" t="s">
        <v>65</v>
      </c>
      <c r="B121" s="2619"/>
      <c r="C121" s="2620"/>
      <c r="D121" s="2621"/>
      <c r="E121" s="2620"/>
      <c r="F121" s="2621"/>
      <c r="G121" s="2620"/>
      <c r="H121" s="2621"/>
      <c r="I121" s="2620"/>
      <c r="J121" s="2621"/>
      <c r="K121" s="2620"/>
      <c r="L121" s="2621"/>
      <c r="M121" s="2620"/>
      <c r="N121" s="962"/>
      <c r="O121" s="963"/>
      <c r="P121" s="962"/>
      <c r="Q121" s="963"/>
      <c r="R121" s="964"/>
      <c r="S121" s="2749"/>
      <c r="T121" s="4483" t="s">
        <v>469</v>
      </c>
      <c r="U121" s="4484"/>
      <c r="V121" s="4484"/>
      <c r="W121" s="4484"/>
      <c r="X121" s="4484"/>
      <c r="Y121" s="4484"/>
      <c r="Z121" s="4484"/>
      <c r="AA121" s="4484"/>
      <c r="AB121" s="4484"/>
      <c r="AC121" s="4484"/>
      <c r="AD121" s="4485"/>
    </row>
    <row r="122" spans="1:30" s="2697" customFormat="1" ht="13.8" thickBot="1">
      <c r="A122" s="2704"/>
      <c r="B122" s="2619"/>
      <c r="C122" s="2620"/>
      <c r="D122" s="2621"/>
      <c r="E122" s="2620"/>
      <c r="F122" s="2621"/>
      <c r="G122" s="2620"/>
      <c r="H122" s="2621"/>
      <c r="I122" s="2620"/>
      <c r="J122" s="2621"/>
      <c r="K122" s="2620"/>
      <c r="L122" s="2621"/>
      <c r="M122" s="2620"/>
      <c r="N122" s="962"/>
      <c r="O122" s="965"/>
      <c r="P122" s="962"/>
      <c r="Q122" s="965"/>
      <c r="R122" s="964"/>
      <c r="S122" s="2749"/>
      <c r="T122" s="3052">
        <v>2006</v>
      </c>
      <c r="U122" s="3032"/>
      <c r="V122" s="3032">
        <v>2007</v>
      </c>
      <c r="W122" s="3032"/>
      <c r="X122" s="3032">
        <v>2008</v>
      </c>
      <c r="Y122" s="3032"/>
      <c r="Z122" s="3032">
        <v>2009</v>
      </c>
      <c r="AA122" s="3032"/>
      <c r="AB122" s="3032">
        <v>2010</v>
      </c>
      <c r="AC122" s="3032"/>
      <c r="AD122" s="3545">
        <v>2011</v>
      </c>
    </row>
    <row r="123" spans="1:30" s="2697" customFormat="1" ht="13.8" thickBot="1">
      <c r="A123" s="2708" t="s">
        <v>29</v>
      </c>
      <c r="B123" s="2723">
        <v>193</v>
      </c>
      <c r="C123" s="2719"/>
      <c r="D123" s="2722">
        <v>236</v>
      </c>
      <c r="E123" s="2719"/>
      <c r="F123" s="2722">
        <v>249</v>
      </c>
      <c r="G123" s="2719"/>
      <c r="H123" s="2722">
        <v>245</v>
      </c>
      <c r="I123" s="2719"/>
      <c r="J123" s="2722">
        <v>321</v>
      </c>
      <c r="K123" s="2719"/>
      <c r="L123" s="2722">
        <v>368</v>
      </c>
      <c r="M123" s="2622"/>
      <c r="N123" s="966">
        <f>AVERAGE(B123:F123)</f>
        <v>226</v>
      </c>
      <c r="O123" s="967"/>
      <c r="P123" s="966">
        <f>AVERAGE(H123:L123)</f>
        <v>311.33333333333331</v>
      </c>
      <c r="Q123" s="967"/>
      <c r="R123" s="968">
        <f>P123-N123</f>
        <v>85.333333333333314</v>
      </c>
      <c r="S123" s="2749"/>
      <c r="T123" s="3837">
        <v>1725</v>
      </c>
      <c r="U123" s="3167"/>
      <c r="V123" s="3167">
        <v>1685</v>
      </c>
      <c r="W123" s="3167"/>
      <c r="X123" s="3167">
        <v>1765</v>
      </c>
      <c r="Y123" s="3167"/>
      <c r="Z123" s="3167">
        <v>1777</v>
      </c>
      <c r="AA123" s="3167"/>
      <c r="AB123" s="3167">
        <v>2303</v>
      </c>
      <c r="AC123" s="3167"/>
      <c r="AD123" s="3838">
        <v>2776</v>
      </c>
    </row>
    <row r="124" spans="1:30" s="2714" customFormat="1" ht="14.4" thickTop="1" thickBot="1">
      <c r="A124" s="2720" t="s">
        <v>32</v>
      </c>
      <c r="B124" s="2613">
        <f>SUM(B119:B123)</f>
        <v>193</v>
      </c>
      <c r="C124" s="2615"/>
      <c r="D124" s="2614">
        <f>SUM(D119:D123)</f>
        <v>236</v>
      </c>
      <c r="E124" s="2615"/>
      <c r="F124" s="2614">
        <f>SUM(F119:F123)</f>
        <v>249</v>
      </c>
      <c r="G124" s="2615"/>
      <c r="H124" s="2614">
        <f>SUM(H119:H123)</f>
        <v>245</v>
      </c>
      <c r="I124" s="2615"/>
      <c r="J124" s="2614">
        <f>SUM(J119:J123)</f>
        <v>321</v>
      </c>
      <c r="K124" s="2615"/>
      <c r="L124" s="2614">
        <f>SUM(L119:L123)</f>
        <v>368</v>
      </c>
      <c r="M124" s="2615"/>
      <c r="N124" s="969">
        <f>AVERAGE(B124:F124)</f>
        <v>226</v>
      </c>
      <c r="O124" s="970"/>
      <c r="P124" s="969">
        <f>AVERAGE(H124:L124)</f>
        <v>311.33333333333331</v>
      </c>
      <c r="Q124" s="970"/>
      <c r="R124" s="971">
        <f>P124-N124</f>
        <v>85.333333333333314</v>
      </c>
      <c r="S124" s="2749"/>
      <c r="T124" s="3839">
        <f>B124/T123</f>
        <v>0.11188405797101449</v>
      </c>
      <c r="U124" s="3840"/>
      <c r="V124" s="3840">
        <f>D124/V123</f>
        <v>0.1400593471810089</v>
      </c>
      <c r="W124" s="3840"/>
      <c r="X124" s="3840">
        <f>F124/X123</f>
        <v>0.14107648725212465</v>
      </c>
      <c r="Y124" s="3840"/>
      <c r="Z124" s="3840">
        <f>H124/Z123</f>
        <v>0.13787281935846932</v>
      </c>
      <c r="AA124" s="3840"/>
      <c r="AB124" s="3840">
        <f>J124/AB123</f>
        <v>0.13938341293964393</v>
      </c>
      <c r="AC124" s="3840"/>
      <c r="AD124" s="3841">
        <f>L124/AD123</f>
        <v>0.13256484149855907</v>
      </c>
    </row>
    <row r="125" spans="1:30" s="2919" customFormat="1" ht="13.8" thickBot="1">
      <c r="A125" s="2922"/>
      <c r="F125" s="2920"/>
      <c r="N125" s="957"/>
      <c r="O125" s="957"/>
      <c r="P125" s="957"/>
      <c r="Q125" s="957"/>
      <c r="R125" s="957"/>
      <c r="S125" s="2749"/>
      <c r="T125" s="3170"/>
      <c r="U125" s="3170"/>
      <c r="V125" s="3170"/>
      <c r="W125" s="3170"/>
      <c r="X125" s="3170"/>
      <c r="Y125" s="3170"/>
      <c r="Z125" s="3170"/>
      <c r="AA125" s="3170"/>
      <c r="AB125" s="3170"/>
      <c r="AC125" s="3170"/>
      <c r="AD125" s="3170"/>
    </row>
    <row r="126" spans="1:30" s="2921" customFormat="1" ht="27" customHeight="1" thickBot="1">
      <c r="A126" s="2906" t="s">
        <v>244</v>
      </c>
      <c r="B126" s="2927" t="s">
        <v>2</v>
      </c>
      <c r="C126" s="2928"/>
      <c r="D126" s="2929" t="s">
        <v>3</v>
      </c>
      <c r="E126" s="2928"/>
      <c r="F126" s="2930" t="s">
        <v>4</v>
      </c>
      <c r="G126" s="2928"/>
      <c r="H126" s="2926" t="s">
        <v>5</v>
      </c>
      <c r="I126" s="2928"/>
      <c r="J126" s="2926" t="s">
        <v>6</v>
      </c>
      <c r="K126" s="2928"/>
      <c r="L126" s="2926" t="s">
        <v>7</v>
      </c>
      <c r="M126" s="2928"/>
      <c r="N126" s="959" t="s">
        <v>33</v>
      </c>
      <c r="O126" s="960"/>
      <c r="P126" s="959" t="s">
        <v>34</v>
      </c>
      <c r="Q126" s="960"/>
      <c r="R126" s="961" t="s">
        <v>35</v>
      </c>
      <c r="S126" s="3239"/>
      <c r="T126" s="3767"/>
      <c r="U126" s="3767"/>
      <c r="V126" s="3767"/>
      <c r="W126" s="3767"/>
      <c r="X126" s="3767"/>
      <c r="Y126" s="3767"/>
      <c r="Z126" s="3767"/>
      <c r="AA126" s="3767"/>
      <c r="AB126" s="3767"/>
      <c r="AC126" s="3767"/>
      <c r="AD126" s="3767"/>
    </row>
    <row r="127" spans="1:30" s="2919" customFormat="1">
      <c r="A127" s="2924" t="s">
        <v>28</v>
      </c>
      <c r="B127" s="2964">
        <v>654</v>
      </c>
      <c r="C127" s="2965"/>
      <c r="D127" s="2966">
        <v>740</v>
      </c>
      <c r="E127" s="2965"/>
      <c r="F127" s="2966">
        <v>665</v>
      </c>
      <c r="G127" s="2965"/>
      <c r="H127" s="2966">
        <v>605</v>
      </c>
      <c r="I127" s="2965"/>
      <c r="J127" s="2966">
        <v>815</v>
      </c>
      <c r="K127" s="2965"/>
      <c r="L127" s="2966">
        <v>1302</v>
      </c>
      <c r="M127" s="2934"/>
      <c r="N127" s="962">
        <f>AVERAGE(B127:F127)</f>
        <v>686.33333333333337</v>
      </c>
      <c r="O127" s="963"/>
      <c r="P127" s="962">
        <f>AVERAGE(H127:L127)</f>
        <v>907.33333333333337</v>
      </c>
      <c r="Q127" s="963"/>
      <c r="R127" s="964">
        <f>P127-N127</f>
        <v>221</v>
      </c>
      <c r="S127" s="2749"/>
      <c r="T127" s="3170"/>
      <c r="U127" s="3170"/>
      <c r="V127" s="3170"/>
      <c r="W127" s="3170"/>
      <c r="X127" s="3170"/>
      <c r="Y127" s="3170"/>
      <c r="Z127" s="3170"/>
      <c r="AA127" s="3170"/>
      <c r="AB127" s="3170"/>
      <c r="AC127" s="3170"/>
      <c r="AD127" s="3170"/>
    </row>
    <row r="128" spans="1:30" s="2919" customFormat="1" ht="13.8" thickBot="1">
      <c r="A128" s="2924"/>
      <c r="B128" s="2957"/>
      <c r="C128" s="2958"/>
      <c r="D128" s="2959"/>
      <c r="E128" s="2958"/>
      <c r="F128" s="2959"/>
      <c r="G128" s="2958"/>
      <c r="H128" s="2959"/>
      <c r="I128" s="2958"/>
      <c r="J128" s="2959"/>
      <c r="K128" s="2958"/>
      <c r="L128" s="2959"/>
      <c r="M128" s="2934"/>
      <c r="N128" s="962"/>
      <c r="O128" s="963"/>
      <c r="P128" s="962"/>
      <c r="Q128" s="963"/>
      <c r="R128" s="964"/>
      <c r="S128" s="2749"/>
      <c r="T128" s="3170"/>
      <c r="U128" s="3170"/>
      <c r="V128" s="3170"/>
      <c r="W128" s="3170"/>
      <c r="X128" s="3170"/>
      <c r="Y128" s="3170"/>
      <c r="Z128" s="3170"/>
      <c r="AA128" s="3170"/>
      <c r="AB128" s="3170"/>
      <c r="AC128" s="3170"/>
      <c r="AD128" s="3170"/>
    </row>
    <row r="129" spans="1:30" s="2919" customFormat="1">
      <c r="A129" s="2924" t="s">
        <v>65</v>
      </c>
      <c r="B129" s="2960">
        <v>1268</v>
      </c>
      <c r="C129" s="2961"/>
      <c r="D129" s="2962">
        <v>1380</v>
      </c>
      <c r="E129" s="2961"/>
      <c r="F129" s="2962">
        <v>1541</v>
      </c>
      <c r="G129" s="2961"/>
      <c r="H129" s="2962">
        <v>1380</v>
      </c>
      <c r="I129" s="2961"/>
      <c r="J129" s="2962">
        <v>2229</v>
      </c>
      <c r="K129" s="2961"/>
      <c r="L129" s="2962">
        <v>3022</v>
      </c>
      <c r="M129" s="2936"/>
      <c r="N129" s="962">
        <f>AVERAGE(B129:F129)</f>
        <v>1396.3333333333333</v>
      </c>
      <c r="O129" s="963"/>
      <c r="P129" s="962">
        <f>AVERAGE(H129:L129)</f>
        <v>2210.3333333333335</v>
      </c>
      <c r="Q129" s="963"/>
      <c r="R129" s="964">
        <f>P129-N129</f>
        <v>814.00000000000023</v>
      </c>
      <c r="S129" s="2749"/>
      <c r="T129" s="4483" t="s">
        <v>469</v>
      </c>
      <c r="U129" s="4484"/>
      <c r="V129" s="4484"/>
      <c r="W129" s="4484"/>
      <c r="X129" s="4484"/>
      <c r="Y129" s="4484"/>
      <c r="Z129" s="4484"/>
      <c r="AA129" s="4484"/>
      <c r="AB129" s="4484"/>
      <c r="AC129" s="4484"/>
      <c r="AD129" s="4485"/>
    </row>
    <row r="130" spans="1:30" s="2919" customFormat="1" ht="13.8" thickBot="1">
      <c r="A130" s="2924"/>
      <c r="B130" s="2935"/>
      <c r="C130" s="2936"/>
      <c r="D130" s="2937"/>
      <c r="E130" s="2936"/>
      <c r="F130" s="2937"/>
      <c r="G130" s="2936"/>
      <c r="H130" s="2937"/>
      <c r="I130" s="2936"/>
      <c r="J130" s="2937"/>
      <c r="K130" s="2936"/>
      <c r="L130" s="2937"/>
      <c r="M130" s="2936"/>
      <c r="N130" s="962"/>
      <c r="O130" s="965"/>
      <c r="P130" s="962"/>
      <c r="Q130" s="965"/>
      <c r="R130" s="964"/>
      <c r="S130" s="2749"/>
      <c r="T130" s="3052">
        <v>2006</v>
      </c>
      <c r="U130" s="3032"/>
      <c r="V130" s="3032">
        <v>2007</v>
      </c>
      <c r="W130" s="3032"/>
      <c r="X130" s="3032">
        <v>2008</v>
      </c>
      <c r="Y130" s="3032"/>
      <c r="Z130" s="3032">
        <v>2009</v>
      </c>
      <c r="AA130" s="3032"/>
      <c r="AB130" s="3032">
        <v>2010</v>
      </c>
      <c r="AC130" s="3032"/>
      <c r="AD130" s="3545">
        <v>2011</v>
      </c>
    </row>
    <row r="131" spans="1:30" s="2919" customFormat="1" ht="13.8" thickBot="1">
      <c r="A131" s="2925" t="s">
        <v>29</v>
      </c>
      <c r="B131" s="2781"/>
      <c r="C131" s="2778"/>
      <c r="D131" s="2780"/>
      <c r="E131" s="2778"/>
      <c r="F131" s="2780"/>
      <c r="G131" s="2778"/>
      <c r="H131" s="2780"/>
      <c r="I131" s="2778"/>
      <c r="J131" s="2780"/>
      <c r="K131" s="2778"/>
      <c r="L131" s="2780"/>
      <c r="M131" s="2938"/>
      <c r="N131" s="966"/>
      <c r="O131" s="967"/>
      <c r="P131" s="966"/>
      <c r="Q131" s="967"/>
      <c r="R131" s="968"/>
      <c r="S131" s="2749"/>
      <c r="T131" s="3837">
        <v>15669</v>
      </c>
      <c r="U131" s="3167"/>
      <c r="V131" s="3167">
        <v>16743</v>
      </c>
      <c r="W131" s="3167"/>
      <c r="X131" s="3167">
        <v>18098</v>
      </c>
      <c r="Y131" s="3167"/>
      <c r="Z131" s="3167">
        <v>13150</v>
      </c>
      <c r="AA131" s="3167"/>
      <c r="AB131" s="3167">
        <v>34481</v>
      </c>
      <c r="AC131" s="3167"/>
      <c r="AD131" s="3838">
        <v>42480</v>
      </c>
    </row>
    <row r="132" spans="1:30" s="2919" customFormat="1" ht="14.4" thickTop="1" thickBot="1">
      <c r="A132" s="2923" t="s">
        <v>32</v>
      </c>
      <c r="B132" s="2931">
        <f>SUM(B127:B131)</f>
        <v>1922</v>
      </c>
      <c r="C132" s="2933"/>
      <c r="D132" s="2932">
        <f>SUM(D127:D131)</f>
        <v>2120</v>
      </c>
      <c r="E132" s="2933"/>
      <c r="F132" s="2932">
        <f>SUM(F127:F131)</f>
        <v>2206</v>
      </c>
      <c r="G132" s="2933"/>
      <c r="H132" s="2932">
        <f>SUM(H127:H131)</f>
        <v>1985</v>
      </c>
      <c r="I132" s="2933"/>
      <c r="J132" s="2932">
        <f>SUM(J127:J131)</f>
        <v>3044</v>
      </c>
      <c r="K132" s="2933"/>
      <c r="L132" s="2932">
        <f>SUM(L127:L131)</f>
        <v>4324</v>
      </c>
      <c r="M132" s="2933"/>
      <c r="N132" s="969">
        <f>AVERAGE(B132:F132)</f>
        <v>2082.6666666666665</v>
      </c>
      <c r="O132" s="970"/>
      <c r="P132" s="969">
        <f>AVERAGE(H132:L132)</f>
        <v>3117.6666666666665</v>
      </c>
      <c r="Q132" s="970"/>
      <c r="R132" s="971">
        <f>P132-N132</f>
        <v>1035</v>
      </c>
      <c r="S132" s="2749"/>
      <c r="T132" s="3839">
        <f>B132/T131</f>
        <v>0.12266258216861319</v>
      </c>
      <c r="U132" s="3840"/>
      <c r="V132" s="3840">
        <f>D132/V131</f>
        <v>0.12662008003344682</v>
      </c>
      <c r="W132" s="3840"/>
      <c r="X132" s="3840">
        <f>F132/X131</f>
        <v>0.12189192175931042</v>
      </c>
      <c r="Y132" s="3840"/>
      <c r="Z132" s="3840">
        <f>H132/Z131</f>
        <v>0.15095057034220533</v>
      </c>
      <c r="AA132" s="3840"/>
      <c r="AB132" s="3840">
        <f>J132/AB131</f>
        <v>8.8280502305617584E-2</v>
      </c>
      <c r="AC132" s="3840"/>
      <c r="AD132" s="3841">
        <f>L132/AD131</f>
        <v>0.10178907721280603</v>
      </c>
    </row>
    <row r="133" spans="1:30" s="3137" customFormat="1" ht="13.8" thickBot="1">
      <c r="A133" s="3140"/>
      <c r="F133" s="3138"/>
      <c r="N133" s="957"/>
      <c r="O133" s="957"/>
      <c r="P133" s="957"/>
      <c r="Q133" s="957"/>
      <c r="R133" s="957"/>
      <c r="S133" s="2749"/>
      <c r="T133" s="3170"/>
      <c r="U133" s="3170"/>
      <c r="V133" s="3170"/>
      <c r="W133" s="3170"/>
      <c r="X133" s="3170"/>
      <c r="Y133" s="3170"/>
      <c r="Z133" s="3170"/>
      <c r="AA133" s="3170"/>
      <c r="AB133" s="3170"/>
      <c r="AC133" s="3170"/>
      <c r="AD133" s="3170"/>
    </row>
    <row r="134" spans="1:30" s="3136" customFormat="1" ht="27" customHeight="1" thickBot="1">
      <c r="A134" s="3076" t="s">
        <v>256</v>
      </c>
      <c r="B134" s="3141" t="s">
        <v>2</v>
      </c>
      <c r="C134" s="3142"/>
      <c r="D134" s="3143" t="s">
        <v>3</v>
      </c>
      <c r="E134" s="3142"/>
      <c r="F134" s="3144" t="s">
        <v>4</v>
      </c>
      <c r="G134" s="3142"/>
      <c r="H134" s="3145" t="s">
        <v>5</v>
      </c>
      <c r="I134" s="3142"/>
      <c r="J134" s="3145" t="s">
        <v>6</v>
      </c>
      <c r="K134" s="3142"/>
      <c r="L134" s="3145" t="s">
        <v>7</v>
      </c>
      <c r="M134" s="3142"/>
      <c r="N134" s="959" t="s">
        <v>33</v>
      </c>
      <c r="O134" s="960"/>
      <c r="P134" s="959" t="s">
        <v>34</v>
      </c>
      <c r="Q134" s="960"/>
      <c r="R134" s="961" t="s">
        <v>35</v>
      </c>
      <c r="S134" s="3239"/>
      <c r="T134" s="3767"/>
      <c r="U134" s="3767"/>
      <c r="V134" s="3767"/>
      <c r="W134" s="3767"/>
      <c r="X134" s="3767"/>
      <c r="Y134" s="3767"/>
      <c r="Z134" s="3767"/>
      <c r="AA134" s="3767"/>
      <c r="AB134" s="3767"/>
      <c r="AC134" s="3767"/>
      <c r="AD134" s="3767"/>
    </row>
    <row r="135" spans="1:30" s="3137" customFormat="1">
      <c r="A135" s="3090" t="s">
        <v>28</v>
      </c>
      <c r="B135" s="3159">
        <v>34</v>
      </c>
      <c r="C135" s="3161"/>
      <c r="D135" s="3022">
        <v>42</v>
      </c>
      <c r="E135" s="3091"/>
      <c r="F135" s="3022">
        <v>37</v>
      </c>
      <c r="G135" s="3091"/>
      <c r="H135" s="3022">
        <v>27</v>
      </c>
      <c r="I135" s="3091"/>
      <c r="J135" s="3022">
        <v>35</v>
      </c>
      <c r="K135" s="3091"/>
      <c r="L135" s="3022">
        <v>24</v>
      </c>
      <c r="M135" s="3065"/>
      <c r="N135" s="962">
        <f>AVERAGE(B135:F135)</f>
        <v>37.666666666666664</v>
      </c>
      <c r="O135" s="963"/>
      <c r="P135" s="962">
        <f>AVERAGE(H135:L135)</f>
        <v>28.666666666666668</v>
      </c>
      <c r="Q135" s="963"/>
      <c r="R135" s="964">
        <f>P135-N135</f>
        <v>-8.9999999999999964</v>
      </c>
      <c r="S135" s="2749"/>
      <c r="T135" s="3170"/>
      <c r="U135" s="3170"/>
      <c r="V135" s="3170"/>
      <c r="W135" s="3170"/>
      <c r="X135" s="3170"/>
      <c r="Y135" s="3170"/>
      <c r="Z135" s="3170"/>
      <c r="AA135" s="3170"/>
      <c r="AB135" s="3170"/>
      <c r="AC135" s="3170"/>
      <c r="AD135" s="3170"/>
    </row>
    <row r="136" spans="1:30" s="3137" customFormat="1" ht="13.8" thickBot="1">
      <c r="A136" s="3139"/>
      <c r="B136" s="3092"/>
      <c r="C136" s="3091"/>
      <c r="D136" s="3022"/>
      <c r="E136" s="3091"/>
      <c r="F136" s="3022"/>
      <c r="G136" s="3091"/>
      <c r="H136" s="3022"/>
      <c r="I136" s="3091"/>
      <c r="J136" s="3022"/>
      <c r="K136" s="3091"/>
      <c r="L136" s="3022"/>
      <c r="M136" s="3065"/>
      <c r="N136" s="962"/>
      <c r="O136" s="963"/>
      <c r="P136" s="962"/>
      <c r="Q136" s="963"/>
      <c r="R136" s="964"/>
      <c r="S136" s="2749"/>
      <c r="T136" s="3170"/>
      <c r="U136" s="3170"/>
      <c r="V136" s="3170"/>
      <c r="W136" s="3170"/>
      <c r="X136" s="3170"/>
      <c r="Y136" s="3170"/>
      <c r="Z136" s="3170"/>
      <c r="AA136" s="3170"/>
      <c r="AB136" s="3170"/>
      <c r="AC136" s="3170"/>
      <c r="AD136" s="3170"/>
    </row>
    <row r="137" spans="1:30" s="3137" customFormat="1">
      <c r="A137" s="3090" t="s">
        <v>65</v>
      </c>
      <c r="B137" s="3160">
        <v>331.84000000000003</v>
      </c>
      <c r="C137" s="3157"/>
      <c r="D137" s="3147">
        <v>311</v>
      </c>
      <c r="E137" s="3157"/>
      <c r="F137" s="3147">
        <v>363</v>
      </c>
      <c r="G137" s="3157"/>
      <c r="H137" s="3147">
        <v>373</v>
      </c>
      <c r="I137" s="3157"/>
      <c r="J137" s="3147">
        <v>455</v>
      </c>
      <c r="K137" s="3157"/>
      <c r="L137" s="3147">
        <v>443</v>
      </c>
      <c r="M137" s="3068"/>
      <c r="N137" s="962">
        <f>AVERAGE(B137:F137)</f>
        <v>335.28000000000003</v>
      </c>
      <c r="O137" s="963"/>
      <c r="P137" s="962">
        <f>AVERAGE(H137:L137)</f>
        <v>423.66666666666669</v>
      </c>
      <c r="Q137" s="963"/>
      <c r="R137" s="964">
        <f>P137-N137</f>
        <v>88.386666666666656</v>
      </c>
      <c r="S137" s="2749"/>
      <c r="T137" s="4483" t="s">
        <v>469</v>
      </c>
      <c r="U137" s="4484"/>
      <c r="V137" s="4484"/>
      <c r="W137" s="4484"/>
      <c r="X137" s="4484"/>
      <c r="Y137" s="4484"/>
      <c r="Z137" s="4484"/>
      <c r="AA137" s="4484"/>
      <c r="AB137" s="4484"/>
      <c r="AC137" s="4484"/>
      <c r="AD137" s="4485"/>
    </row>
    <row r="138" spans="1:30" s="3137" customFormat="1" ht="13.8" thickBot="1">
      <c r="A138" s="3139"/>
      <c r="B138" s="3160"/>
      <c r="C138" s="3157"/>
      <c r="D138" s="3147"/>
      <c r="E138" s="3157"/>
      <c r="F138" s="3147"/>
      <c r="G138" s="3157"/>
      <c r="H138" s="3147"/>
      <c r="I138" s="3157"/>
      <c r="J138" s="3147"/>
      <c r="K138" s="3157"/>
      <c r="L138" s="3147"/>
      <c r="M138" s="3068"/>
      <c r="N138" s="962"/>
      <c r="O138" s="965"/>
      <c r="P138" s="962"/>
      <c r="Q138" s="965"/>
      <c r="R138" s="964"/>
      <c r="S138" s="2749"/>
      <c r="T138" s="3052">
        <v>2006</v>
      </c>
      <c r="U138" s="3032"/>
      <c r="V138" s="3032">
        <v>2007</v>
      </c>
      <c r="W138" s="3032"/>
      <c r="X138" s="3032">
        <v>2008</v>
      </c>
      <c r="Y138" s="3032"/>
      <c r="Z138" s="3032">
        <v>2009</v>
      </c>
      <c r="AA138" s="3032"/>
      <c r="AB138" s="3032">
        <v>2010</v>
      </c>
      <c r="AC138" s="3032"/>
      <c r="AD138" s="3545">
        <v>2011</v>
      </c>
    </row>
    <row r="139" spans="1:30" s="3137" customFormat="1" ht="13.8" thickBot="1">
      <c r="A139" s="3163" t="s">
        <v>29</v>
      </c>
      <c r="B139" s="3162">
        <v>0</v>
      </c>
      <c r="C139" s="3149"/>
      <c r="D139" s="3148">
        <v>11</v>
      </c>
      <c r="E139" s="3149"/>
      <c r="F139" s="3148">
        <v>9</v>
      </c>
      <c r="G139" s="3149"/>
      <c r="H139" s="3148">
        <v>27</v>
      </c>
      <c r="I139" s="3149"/>
      <c r="J139" s="3148">
        <v>40</v>
      </c>
      <c r="K139" s="3149"/>
      <c r="L139" s="3148">
        <v>50</v>
      </c>
      <c r="M139" s="3071"/>
      <c r="N139" s="966">
        <f>AVERAGE(B139:F139)</f>
        <v>6.666666666666667</v>
      </c>
      <c r="O139" s="967"/>
      <c r="P139" s="966">
        <f>AVERAGE(H139:L139)</f>
        <v>39</v>
      </c>
      <c r="Q139" s="967"/>
      <c r="R139" s="968">
        <f>P139-N139</f>
        <v>32.333333333333336</v>
      </c>
      <c r="S139" s="2749"/>
      <c r="T139" s="3837">
        <v>1888</v>
      </c>
      <c r="U139" s="3167"/>
      <c r="V139" s="3167">
        <v>1922</v>
      </c>
      <c r="W139" s="3167"/>
      <c r="X139" s="3167">
        <v>2099</v>
      </c>
      <c r="Y139" s="3167"/>
      <c r="Z139" s="3167">
        <v>2343</v>
      </c>
      <c r="AA139" s="3167"/>
      <c r="AB139" s="3167">
        <v>3263</v>
      </c>
      <c r="AC139" s="3167"/>
      <c r="AD139" s="3838">
        <v>3808</v>
      </c>
    </row>
    <row r="140" spans="1:30" s="3137" customFormat="1" ht="14.4" thickTop="1" thickBot="1">
      <c r="A140" s="3146" t="s">
        <v>32</v>
      </c>
      <c r="B140" s="3061">
        <f>SUM(B135:B139)</f>
        <v>365.84000000000003</v>
      </c>
      <c r="C140" s="3063"/>
      <c r="D140" s="3062">
        <f>SUM(D135:D139)</f>
        <v>364</v>
      </c>
      <c r="E140" s="3063"/>
      <c r="F140" s="3062">
        <f>SUM(F135:F139)</f>
        <v>409</v>
      </c>
      <c r="G140" s="3063"/>
      <c r="H140" s="3062">
        <f>SUM(H135:H139)</f>
        <v>427</v>
      </c>
      <c r="I140" s="3063"/>
      <c r="J140" s="3062">
        <f>SUM(J135:J139)</f>
        <v>530</v>
      </c>
      <c r="K140" s="3063"/>
      <c r="L140" s="3062">
        <f>SUM(L135:L139)</f>
        <v>517</v>
      </c>
      <c r="M140" s="3063"/>
      <c r="N140" s="969">
        <f>AVERAGE(B140:F140)</f>
        <v>379.6133333333334</v>
      </c>
      <c r="O140" s="970"/>
      <c r="P140" s="969">
        <f>AVERAGE(H140:L140)</f>
        <v>491.33333333333331</v>
      </c>
      <c r="Q140" s="970"/>
      <c r="R140" s="971">
        <f>P140-N140</f>
        <v>111.71999999999991</v>
      </c>
      <c r="S140" s="2749"/>
      <c r="T140" s="3839">
        <f>B140/T139</f>
        <v>0.19377118644067798</v>
      </c>
      <c r="U140" s="3840"/>
      <c r="V140" s="3840">
        <f>D140/V139</f>
        <v>0.18938605619146723</v>
      </c>
      <c r="W140" s="3840"/>
      <c r="X140" s="3840">
        <f>F140/X139</f>
        <v>0.19485469271081468</v>
      </c>
      <c r="Y140" s="3840"/>
      <c r="Z140" s="3840">
        <f>H140/Z139</f>
        <v>0.18224498506188647</v>
      </c>
      <c r="AA140" s="3840"/>
      <c r="AB140" s="3840">
        <f>J140/AB139</f>
        <v>0.16242721422004291</v>
      </c>
      <c r="AC140" s="3840"/>
      <c r="AD140" s="3841">
        <f>L140/AD139</f>
        <v>0.13576680672268907</v>
      </c>
    </row>
    <row r="141" spans="1:30" s="1252" customFormat="1">
      <c r="A141" s="1255"/>
      <c r="F141" s="1253"/>
      <c r="N141" s="957"/>
      <c r="O141" s="957"/>
      <c r="P141" s="957"/>
      <c r="Q141" s="957"/>
      <c r="R141" s="957"/>
      <c r="S141" s="2749"/>
      <c r="T141" s="3170"/>
      <c r="U141" s="3170"/>
      <c r="V141" s="3170"/>
      <c r="W141" s="3170"/>
      <c r="X141" s="3170"/>
      <c r="Y141" s="3170"/>
      <c r="Z141" s="3170"/>
      <c r="AA141" s="3170"/>
      <c r="AB141" s="3170"/>
      <c r="AC141" s="3170"/>
      <c r="AD141" s="3170"/>
    </row>
    <row r="142" spans="1:30">
      <c r="A142" s="28" t="s">
        <v>12</v>
      </c>
      <c r="B142" s="5"/>
      <c r="C142" s="4"/>
      <c r="D142" s="4"/>
      <c r="E142" s="4"/>
      <c r="F142" s="3"/>
      <c r="G142" s="4"/>
      <c r="H142" s="4"/>
      <c r="I142" s="4"/>
      <c r="J142" s="4"/>
      <c r="L142" s="4"/>
    </row>
    <row r="143" spans="1:30">
      <c r="A143" s="28" t="s">
        <v>36</v>
      </c>
      <c r="B143" s="5"/>
      <c r="C143" s="4"/>
      <c r="D143" s="4"/>
      <c r="E143" s="4"/>
      <c r="F143" s="3"/>
      <c r="G143" s="4"/>
      <c r="H143" s="4"/>
      <c r="I143" s="4"/>
      <c r="J143" s="4"/>
      <c r="L143" s="4"/>
    </row>
    <row r="144" spans="1:30">
      <c r="A144" s="28" t="s">
        <v>82</v>
      </c>
      <c r="B144" s="4"/>
      <c r="C144" s="4"/>
      <c r="D144" s="4"/>
      <c r="E144" s="4"/>
      <c r="F144" s="3"/>
      <c r="G144" s="4"/>
      <c r="H144" s="4"/>
      <c r="I144" s="4"/>
      <c r="J144" s="4"/>
      <c r="L144" s="4"/>
    </row>
    <row r="145" spans="1:12">
      <c r="A145" s="28" t="s">
        <v>170</v>
      </c>
      <c r="B145" s="4"/>
      <c r="C145" s="4"/>
      <c r="D145" s="4"/>
      <c r="E145" s="4"/>
      <c r="F145" s="3"/>
      <c r="G145" s="4"/>
      <c r="H145" s="4"/>
      <c r="I145" s="4"/>
      <c r="J145" s="4"/>
      <c r="L145" s="4"/>
    </row>
    <row r="146" spans="1:12">
      <c r="A146" s="39" t="s">
        <v>123</v>
      </c>
      <c r="B146" s="4"/>
      <c r="C146" s="4"/>
      <c r="D146" s="4"/>
      <c r="E146" s="4"/>
      <c r="F146" s="3"/>
      <c r="G146" s="4"/>
      <c r="H146" s="4"/>
      <c r="I146" s="4"/>
      <c r="J146" s="4"/>
      <c r="L146" s="4"/>
    </row>
    <row r="147" spans="1:12">
      <c r="A147" s="28" t="s">
        <v>126</v>
      </c>
      <c r="B147" s="4"/>
      <c r="C147" s="4"/>
      <c r="D147" s="4"/>
      <c r="E147" s="4"/>
      <c r="F147" s="3"/>
      <c r="G147" s="4"/>
      <c r="H147" s="4"/>
      <c r="I147" s="4"/>
      <c r="J147" s="4"/>
      <c r="L147" s="4"/>
    </row>
    <row r="148" spans="1:12">
      <c r="A148" s="39" t="s">
        <v>171</v>
      </c>
      <c r="B148" s="4"/>
      <c r="C148" s="4"/>
      <c r="D148" s="4"/>
      <c r="E148" s="4"/>
      <c r="F148" s="3"/>
      <c r="G148" s="4"/>
      <c r="H148" s="4"/>
      <c r="I148" s="4"/>
      <c r="J148" s="4"/>
      <c r="L148" s="4"/>
    </row>
    <row r="149" spans="1:12">
      <c r="A149" s="57" t="s">
        <v>125</v>
      </c>
      <c r="B149" s="4"/>
      <c r="C149" s="4"/>
      <c r="D149" s="4"/>
      <c r="E149" s="4"/>
      <c r="F149" s="3"/>
      <c r="G149" s="4"/>
      <c r="H149" s="4"/>
      <c r="I149" s="4"/>
      <c r="J149" s="4"/>
      <c r="L149" s="4"/>
    </row>
    <row r="150" spans="1:12">
      <c r="B150" s="4"/>
      <c r="C150" s="4"/>
      <c r="D150" s="4"/>
      <c r="E150" s="4"/>
      <c r="F150" s="3"/>
      <c r="G150" s="4"/>
      <c r="H150" s="4"/>
      <c r="I150" s="4"/>
      <c r="J150" s="4"/>
      <c r="L150" s="4"/>
    </row>
    <row r="151" spans="1:12">
      <c r="B151" s="4"/>
      <c r="C151" s="4"/>
      <c r="D151" s="4"/>
      <c r="E151" s="4"/>
      <c r="F151" s="3"/>
      <c r="G151" s="4"/>
      <c r="H151" s="4"/>
      <c r="I151" s="4"/>
      <c r="J151" s="4"/>
      <c r="L151" s="4"/>
    </row>
    <row r="152" spans="1:12">
      <c r="B152" s="4"/>
      <c r="C152" s="4"/>
      <c r="D152" s="4"/>
      <c r="E152" s="4"/>
      <c r="F152" s="3"/>
      <c r="G152" s="4"/>
      <c r="H152" s="4"/>
      <c r="I152" s="4"/>
      <c r="J152" s="4"/>
      <c r="L152" s="4"/>
    </row>
    <row r="153" spans="1:12">
      <c r="B153" s="4"/>
      <c r="C153" s="4"/>
      <c r="D153" s="4"/>
      <c r="E153" s="4"/>
      <c r="F153" s="3"/>
      <c r="G153" s="4"/>
      <c r="H153" s="4"/>
      <c r="I153" s="4"/>
      <c r="J153" s="4"/>
      <c r="L153" s="4"/>
    </row>
    <row r="154" spans="1:12">
      <c r="B154" s="4"/>
      <c r="C154" s="4"/>
      <c r="D154" s="4"/>
      <c r="E154" s="4"/>
      <c r="F154" s="3"/>
      <c r="G154" s="4"/>
      <c r="H154" s="4"/>
      <c r="I154" s="4"/>
      <c r="J154" s="4"/>
      <c r="L154" s="4"/>
    </row>
    <row r="155" spans="1:12">
      <c r="B155" s="4"/>
      <c r="C155" s="4"/>
      <c r="D155" s="4"/>
      <c r="E155" s="4"/>
      <c r="F155" s="3"/>
      <c r="G155" s="4"/>
      <c r="H155" s="4"/>
      <c r="I155" s="4"/>
      <c r="J155" s="4"/>
      <c r="L155" s="4"/>
    </row>
    <row r="156" spans="1:12">
      <c r="B156" s="4"/>
      <c r="C156" s="4"/>
      <c r="D156" s="4"/>
      <c r="E156" s="4"/>
      <c r="F156" s="3"/>
      <c r="G156" s="4"/>
      <c r="H156" s="4"/>
      <c r="I156" s="4"/>
      <c r="J156" s="4"/>
      <c r="L156" s="4"/>
    </row>
    <row r="157" spans="1:12">
      <c r="B157" s="4"/>
      <c r="C157" s="4"/>
      <c r="D157" s="4"/>
      <c r="E157" s="4"/>
      <c r="F157" s="3"/>
      <c r="G157" s="4"/>
      <c r="H157" s="4"/>
      <c r="I157" s="4"/>
      <c r="J157" s="4"/>
      <c r="L157" s="4"/>
    </row>
    <row r="158" spans="1:12">
      <c r="B158" s="4"/>
      <c r="C158" s="4"/>
      <c r="D158" s="4"/>
      <c r="E158" s="4"/>
      <c r="F158" s="3"/>
      <c r="G158" s="4"/>
      <c r="H158" s="4"/>
      <c r="I158" s="4"/>
      <c r="J158" s="4"/>
      <c r="L158" s="4"/>
    </row>
    <row r="159" spans="1:12">
      <c r="B159" s="4"/>
      <c r="C159" s="4"/>
      <c r="D159" s="4"/>
      <c r="E159" s="4"/>
      <c r="F159" s="3"/>
      <c r="G159" s="4"/>
      <c r="H159" s="4"/>
      <c r="I159" s="4"/>
      <c r="J159" s="4"/>
      <c r="L159" s="4"/>
    </row>
    <row r="160" spans="1:12">
      <c r="B160" s="4"/>
      <c r="C160" s="4"/>
      <c r="D160" s="4"/>
      <c r="E160" s="4"/>
      <c r="F160" s="3"/>
      <c r="G160" s="4"/>
      <c r="H160" s="4"/>
      <c r="I160" s="4"/>
      <c r="J160" s="4"/>
      <c r="L160" s="4"/>
    </row>
    <row r="161" spans="2:12">
      <c r="B161" s="4"/>
      <c r="C161" s="4"/>
      <c r="D161" s="4"/>
      <c r="E161" s="4"/>
      <c r="F161" s="3"/>
      <c r="G161" s="4"/>
      <c r="H161" s="4"/>
      <c r="I161" s="4"/>
      <c r="J161" s="4"/>
      <c r="L161" s="4"/>
    </row>
    <row r="162" spans="2:12">
      <c r="B162" s="4"/>
      <c r="C162" s="4"/>
      <c r="D162" s="4"/>
      <c r="E162" s="4"/>
      <c r="F162" s="3"/>
      <c r="G162" s="4"/>
      <c r="H162" s="4"/>
      <c r="I162" s="4"/>
      <c r="J162" s="4"/>
      <c r="L162" s="4"/>
    </row>
    <row r="163" spans="2:12">
      <c r="B163" s="4"/>
      <c r="C163" s="4"/>
      <c r="D163" s="4"/>
      <c r="E163" s="4"/>
      <c r="F163" s="3"/>
      <c r="G163" s="4"/>
      <c r="H163" s="4"/>
      <c r="I163" s="4"/>
      <c r="J163" s="4"/>
      <c r="L163" s="4"/>
    </row>
    <row r="164" spans="2:12">
      <c r="B164" s="4"/>
      <c r="C164" s="4"/>
      <c r="D164" s="4"/>
      <c r="E164" s="4"/>
      <c r="F164" s="3"/>
      <c r="G164" s="4"/>
      <c r="H164" s="4"/>
      <c r="I164" s="4"/>
      <c r="J164" s="4"/>
      <c r="L164" s="4"/>
    </row>
    <row r="165" spans="2:12">
      <c r="B165" s="4"/>
      <c r="C165" s="4"/>
      <c r="D165" s="4"/>
      <c r="E165" s="4"/>
      <c r="F165" s="3"/>
      <c r="G165" s="4"/>
      <c r="H165" s="4"/>
      <c r="I165" s="4"/>
      <c r="J165" s="4"/>
      <c r="L165" s="4"/>
    </row>
    <row r="166" spans="2:12">
      <c r="B166" s="4"/>
      <c r="C166" s="4"/>
      <c r="D166" s="4"/>
      <c r="E166" s="4"/>
      <c r="F166" s="3"/>
      <c r="G166" s="4"/>
      <c r="H166" s="4"/>
      <c r="I166" s="4"/>
      <c r="J166" s="4"/>
      <c r="L166" s="4"/>
    </row>
    <row r="167" spans="2:12">
      <c r="B167" s="4"/>
      <c r="C167" s="4"/>
      <c r="D167" s="4"/>
      <c r="E167" s="4"/>
      <c r="F167" s="3"/>
      <c r="G167" s="4"/>
      <c r="H167" s="4"/>
      <c r="I167" s="4"/>
      <c r="J167" s="4"/>
      <c r="L167" s="4"/>
    </row>
    <row r="168" spans="2:12">
      <c r="B168" s="4"/>
      <c r="C168" s="4"/>
      <c r="D168" s="4"/>
      <c r="E168" s="4"/>
      <c r="F168" s="3"/>
      <c r="G168" s="4"/>
      <c r="H168" s="4"/>
      <c r="I168" s="4"/>
      <c r="J168" s="4"/>
      <c r="L168" s="4"/>
    </row>
  </sheetData>
  <mergeCells count="20">
    <mergeCell ref="T105:AD105"/>
    <mergeCell ref="T113:AD113"/>
    <mergeCell ref="T121:AD121"/>
    <mergeCell ref="T129:AD129"/>
    <mergeCell ref="T137:AD137"/>
    <mergeCell ref="T65:AD65"/>
    <mergeCell ref="T73:AD73"/>
    <mergeCell ref="T81:AD81"/>
    <mergeCell ref="T89:AD89"/>
    <mergeCell ref="T97:AD97"/>
    <mergeCell ref="T25:AD25"/>
    <mergeCell ref="T33:AD33"/>
    <mergeCell ref="T41:AD41"/>
    <mergeCell ref="T49:AD49"/>
    <mergeCell ref="T57:AD57"/>
    <mergeCell ref="A2:R2"/>
    <mergeCell ref="A3:R3"/>
    <mergeCell ref="A4:R4"/>
    <mergeCell ref="A1:R1"/>
    <mergeCell ref="T17:AD17"/>
  </mergeCells>
  <printOptions horizontalCentered="1"/>
  <pageMargins left="0.37" right="0.7" top="0.75" bottom="0.54" header="0.3" footer="0.3"/>
  <pageSetup scale="75" orientation="landscape" r:id="rId1"/>
  <headerFooter alignWithMargins="0">
    <oddFooter>&amp;LHouse Ways and Means Cmte Amendment 1001 2-14-13&amp;R&amp;D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3"/>
  <sheetViews>
    <sheetView topLeftCell="A16" zoomScale="90" zoomScaleNormal="90" workbookViewId="0">
      <selection activeCell="N7" sqref="N7:R12"/>
    </sheetView>
  </sheetViews>
  <sheetFormatPr defaultColWidth="9.109375" defaultRowHeight="13.2"/>
  <cols>
    <col min="1" max="1" width="36.109375" style="11" customWidth="1"/>
    <col min="2" max="2" width="8.33203125" style="1" bestFit="1" customWidth="1"/>
    <col min="3" max="3" width="1.44140625" style="1" customWidth="1"/>
    <col min="4" max="4" width="8.33203125" style="1" bestFit="1" customWidth="1"/>
    <col min="5" max="5" width="1.5546875" style="1" customWidth="1"/>
    <col min="6" max="6" width="8.33203125" style="2" bestFit="1" customWidth="1"/>
    <col min="7" max="7" width="1.44140625" style="1" customWidth="1"/>
    <col min="8" max="8" width="9.33203125" style="1" customWidth="1"/>
    <col min="9" max="9" width="1.5546875" style="1" customWidth="1"/>
    <col min="10" max="10" width="8.33203125" style="1" bestFit="1" customWidth="1"/>
    <col min="11" max="11" width="1.44140625" style="1" customWidth="1"/>
    <col min="12" max="12" width="7.5546875" style="1" bestFit="1" customWidth="1"/>
    <col min="13" max="13" width="1.44140625" style="1" customWidth="1"/>
    <col min="14" max="14" width="18.6640625" style="1171" customWidth="1"/>
    <col min="15" max="15" width="1.44140625" style="1171" customWidth="1"/>
    <col min="16" max="16" width="18.6640625" style="1171" customWidth="1"/>
    <col min="17" max="17" width="1.44140625" style="1171" customWidth="1"/>
    <col min="18" max="18" width="18.88671875" style="1171" customWidth="1"/>
    <col min="19" max="19" width="9.109375" style="2749"/>
    <col min="20" max="20" width="9.88671875" style="1" bestFit="1" customWidth="1"/>
    <col min="21" max="21" width="1.6640625" style="3170" customWidth="1"/>
    <col min="22" max="22" width="9.109375" style="3170"/>
    <col min="23" max="23" width="1.6640625" style="1" customWidth="1"/>
    <col min="24" max="24" width="9.109375" style="1"/>
    <col min="25" max="25" width="1.6640625" style="1" customWidth="1"/>
    <col min="26" max="26" width="9.109375" style="1"/>
    <col min="27" max="27" width="1.6640625" style="1" customWidth="1"/>
    <col min="28" max="28" width="9.109375" style="1"/>
    <col min="29" max="29" width="1.6640625" style="1" customWidth="1"/>
    <col min="30" max="16384" width="9.109375" style="1"/>
  </cols>
  <sheetData>
    <row r="1" spans="1:30">
      <c r="A1" s="4479" t="s">
        <v>70</v>
      </c>
      <c r="B1" s="4479"/>
      <c r="C1" s="4479"/>
      <c r="D1" s="4479"/>
      <c r="E1" s="4479"/>
      <c r="F1" s="4479"/>
      <c r="G1" s="4479"/>
      <c r="H1" s="4479"/>
      <c r="I1" s="4479"/>
      <c r="J1" s="4479"/>
      <c r="K1" s="4479"/>
      <c r="L1" s="4479"/>
      <c r="M1" s="4479"/>
      <c r="N1" s="4479"/>
      <c r="O1" s="4479"/>
      <c r="P1" s="4479"/>
      <c r="Q1" s="4479"/>
      <c r="R1" s="4479"/>
    </row>
    <row r="2" spans="1:30">
      <c r="A2" s="4480" t="s">
        <v>39</v>
      </c>
      <c r="B2" s="4480"/>
      <c r="C2" s="4480"/>
      <c r="D2" s="4480"/>
      <c r="E2" s="4480"/>
      <c r="F2" s="4480"/>
      <c r="G2" s="4480"/>
      <c r="H2" s="4480"/>
      <c r="I2" s="4480"/>
      <c r="J2" s="4480"/>
      <c r="K2" s="4480"/>
      <c r="L2" s="4480"/>
      <c r="M2" s="4480"/>
      <c r="N2" s="4480"/>
      <c r="O2" s="4480"/>
      <c r="P2" s="4480"/>
      <c r="Q2" s="4480"/>
      <c r="R2" s="4480"/>
    </row>
    <row r="3" spans="1:30">
      <c r="A3" s="4481" t="s">
        <v>0</v>
      </c>
      <c r="B3" s="4481"/>
      <c r="C3" s="4481"/>
      <c r="D3" s="4481"/>
      <c r="E3" s="4481"/>
      <c r="F3" s="4481"/>
      <c r="G3" s="4481"/>
      <c r="H3" s="4481"/>
      <c r="I3" s="4481"/>
      <c r="J3" s="4481"/>
      <c r="K3" s="4481"/>
      <c r="L3" s="4481"/>
      <c r="M3" s="4481"/>
      <c r="N3" s="4481"/>
      <c r="O3" s="4481"/>
      <c r="P3" s="4481"/>
      <c r="Q3" s="4481"/>
      <c r="R3" s="4481"/>
    </row>
    <row r="4" spans="1:30">
      <c r="A4" s="4481" t="s">
        <v>40</v>
      </c>
      <c r="B4" s="4481"/>
      <c r="C4" s="4481"/>
      <c r="D4" s="4481"/>
      <c r="E4" s="4481"/>
      <c r="F4" s="4481"/>
      <c r="G4" s="4481"/>
      <c r="H4" s="4481"/>
      <c r="I4" s="4481"/>
      <c r="J4" s="4481"/>
      <c r="K4" s="4481"/>
      <c r="L4" s="4481"/>
      <c r="M4" s="4481"/>
      <c r="N4" s="4481"/>
      <c r="O4" s="4481"/>
      <c r="P4" s="4481"/>
      <c r="Q4" s="4481"/>
      <c r="R4" s="4481"/>
    </row>
    <row r="5" spans="1:30" ht="13.8" thickBot="1">
      <c r="A5" s="52" t="s">
        <v>1</v>
      </c>
      <c r="B5" s="52"/>
      <c r="C5" s="52"/>
      <c r="D5" s="52"/>
      <c r="E5" s="52"/>
      <c r="F5" s="52"/>
      <c r="G5" s="52"/>
      <c r="H5" s="52"/>
      <c r="I5" s="52"/>
      <c r="J5" s="52"/>
      <c r="K5" s="52"/>
      <c r="L5" s="52"/>
      <c r="M5" s="52"/>
      <c r="O5" s="1172"/>
      <c r="Q5" s="1172"/>
    </row>
    <row r="6" spans="1:30" s="7" customFormat="1" ht="13.8" thickBot="1">
      <c r="A6" s="442" t="s">
        <v>190</v>
      </c>
      <c r="B6" s="60" t="s">
        <v>2</v>
      </c>
      <c r="C6" s="61"/>
      <c r="D6" s="62" t="s">
        <v>3</v>
      </c>
      <c r="E6" s="61"/>
      <c r="F6" s="63" t="s">
        <v>4</v>
      </c>
      <c r="G6" s="61"/>
      <c r="H6" s="59" t="s">
        <v>5</v>
      </c>
      <c r="I6" s="61"/>
      <c r="J6" s="59" t="s">
        <v>6</v>
      </c>
      <c r="K6" s="61"/>
      <c r="L6" s="59" t="s">
        <v>7</v>
      </c>
      <c r="M6" s="61"/>
      <c r="N6" s="1174" t="s">
        <v>33</v>
      </c>
      <c r="O6" s="1167"/>
      <c r="P6" s="1174" t="s">
        <v>34</v>
      </c>
      <c r="Q6" s="1167"/>
      <c r="R6" s="1175" t="s">
        <v>35</v>
      </c>
      <c r="S6" s="3239"/>
      <c r="T6" s="3246"/>
      <c r="U6" s="3246"/>
      <c r="V6" s="3246"/>
    </row>
    <row r="7" spans="1:30">
      <c r="A7" s="15" t="s">
        <v>29</v>
      </c>
      <c r="B7" s="3206">
        <f>B15+B23+B31+B39</f>
        <v>2617</v>
      </c>
      <c r="C7" s="74"/>
      <c r="D7" s="75">
        <f>D15+D23+D31+D39</f>
        <v>2664</v>
      </c>
      <c r="E7" s="74"/>
      <c r="F7" s="75">
        <f>F15+F23+F31+F39</f>
        <v>2674</v>
      </c>
      <c r="G7" s="74"/>
      <c r="H7" s="75">
        <f>H15+H23+H31+H39</f>
        <v>2675</v>
      </c>
      <c r="I7" s="74"/>
      <c r="J7" s="75">
        <f>J15+J23+J31+J39</f>
        <v>2915</v>
      </c>
      <c r="K7" s="74"/>
      <c r="L7" s="75">
        <f>L15+L23+L31+L39</f>
        <v>3126</v>
      </c>
      <c r="M7" s="74"/>
      <c r="N7" s="1177">
        <f>AVERAGE(B7:F7)</f>
        <v>2651.6666666666665</v>
      </c>
      <c r="O7" s="1179"/>
      <c r="P7" s="1177">
        <f>AVERAGE(H7:L7)</f>
        <v>2905.3333333333335</v>
      </c>
      <c r="Q7" s="1179"/>
      <c r="R7" s="1169">
        <f>P7-N7</f>
        <v>253.66666666666697</v>
      </c>
      <c r="T7" s="3166"/>
      <c r="U7" s="3166"/>
      <c r="V7" s="3166"/>
    </row>
    <row r="8" spans="1:30">
      <c r="A8" s="15"/>
      <c r="B8" s="3067"/>
      <c r="C8" s="74"/>
      <c r="D8" s="75"/>
      <c r="E8" s="74"/>
      <c r="F8" s="75"/>
      <c r="G8" s="74"/>
      <c r="H8" s="75"/>
      <c r="I8" s="74"/>
      <c r="J8" s="75"/>
      <c r="K8" s="74"/>
      <c r="L8" s="75"/>
      <c r="M8" s="74"/>
      <c r="N8" s="962"/>
      <c r="O8" s="965"/>
      <c r="P8" s="962"/>
      <c r="Q8" s="965"/>
      <c r="R8" s="964"/>
    </row>
    <row r="9" spans="1:30">
      <c r="A9" s="15" t="s">
        <v>30</v>
      </c>
      <c r="B9" s="3067">
        <f t="shared" ref="B9:D11" si="0">B17+B25+B33+B41</f>
        <v>396</v>
      </c>
      <c r="C9" s="74"/>
      <c r="D9" s="75">
        <f t="shared" si="0"/>
        <v>377</v>
      </c>
      <c r="E9" s="74"/>
      <c r="F9" s="75">
        <f t="shared" ref="F9" si="1">F17+F25+F33+F41</f>
        <v>406</v>
      </c>
      <c r="G9" s="74"/>
      <c r="H9" s="75">
        <f t="shared" ref="H9" si="2">H17+H25+H33+H41</f>
        <v>390</v>
      </c>
      <c r="I9" s="74"/>
      <c r="J9" s="75">
        <f t="shared" ref="J9" si="3">J17+J25+J33+J41</f>
        <v>471</v>
      </c>
      <c r="K9" s="74"/>
      <c r="L9" s="75">
        <f t="shared" ref="L9" si="4">L17+L25+L33+L41</f>
        <v>548</v>
      </c>
      <c r="M9" s="74"/>
      <c r="N9" s="962">
        <f>AVERAGE(B9:F9)</f>
        <v>393</v>
      </c>
      <c r="O9" s="963"/>
      <c r="P9" s="962">
        <f>AVERAGE(H9:L9)</f>
        <v>469.66666666666669</v>
      </c>
      <c r="Q9" s="963"/>
      <c r="R9" s="964">
        <f>P9-N9</f>
        <v>76.666666666666686</v>
      </c>
      <c r="T9" s="3166"/>
      <c r="U9" s="3166"/>
      <c r="V9" s="3166"/>
    </row>
    <row r="10" spans="1:30">
      <c r="A10" s="15"/>
      <c r="B10" s="3067"/>
      <c r="C10" s="74"/>
      <c r="D10" s="75"/>
      <c r="E10" s="74"/>
      <c r="F10" s="75"/>
      <c r="G10" s="74"/>
      <c r="H10" s="75"/>
      <c r="I10" s="74"/>
      <c r="J10" s="75"/>
      <c r="K10" s="74"/>
      <c r="L10" s="75"/>
      <c r="M10" s="74"/>
      <c r="N10" s="962"/>
      <c r="O10" s="965"/>
      <c r="P10" s="962"/>
      <c r="Q10" s="965"/>
      <c r="R10" s="964"/>
    </row>
    <row r="11" spans="1:30" ht="13.8" thickBot="1">
      <c r="A11" s="16" t="s">
        <v>31</v>
      </c>
      <c r="B11" s="2579">
        <f t="shared" si="0"/>
        <v>170</v>
      </c>
      <c r="C11" s="81"/>
      <c r="D11" s="82">
        <f t="shared" si="0"/>
        <v>167</v>
      </c>
      <c r="E11" s="81"/>
      <c r="F11" s="82">
        <f t="shared" ref="F11" si="5">F19+F27+F35+F43</f>
        <v>173</v>
      </c>
      <c r="G11" s="81"/>
      <c r="H11" s="82">
        <f t="shared" ref="H11" si="6">H19+H27+H35+H43</f>
        <v>163</v>
      </c>
      <c r="I11" s="81"/>
      <c r="J11" s="82">
        <f t="shared" ref="J11" si="7">J19+J27+J35+J43</f>
        <v>179</v>
      </c>
      <c r="K11" s="81"/>
      <c r="L11" s="82">
        <f t="shared" ref="L11" si="8">L19+L27+L35+L43</f>
        <v>181</v>
      </c>
      <c r="M11" s="81"/>
      <c r="N11" s="966">
        <f>AVERAGE(B11:F11)</f>
        <v>170</v>
      </c>
      <c r="O11" s="967"/>
      <c r="P11" s="966">
        <f>AVERAGE(H11:L11)</f>
        <v>174.33333333333334</v>
      </c>
      <c r="Q11" s="967"/>
      <c r="R11" s="968">
        <f>P11-N11</f>
        <v>4.3333333333333428</v>
      </c>
      <c r="T11" s="3166"/>
      <c r="U11" s="3166"/>
      <c r="V11" s="3166"/>
    </row>
    <row r="12" spans="1:30" ht="14.4" thickTop="1" thickBot="1">
      <c r="A12" s="14" t="s">
        <v>32</v>
      </c>
      <c r="B12" s="68">
        <f>SUM(B7:B11)</f>
        <v>3183</v>
      </c>
      <c r="C12" s="70"/>
      <c r="D12" s="69">
        <f>SUM(D7:D11)</f>
        <v>3208</v>
      </c>
      <c r="E12" s="70"/>
      <c r="F12" s="69">
        <f>SUM(F7:F11)</f>
        <v>3253</v>
      </c>
      <c r="G12" s="70"/>
      <c r="H12" s="69">
        <f>SUM(H7:H11)</f>
        <v>3228</v>
      </c>
      <c r="I12" s="70"/>
      <c r="J12" s="69">
        <f>SUM(J7:J11)</f>
        <v>3565</v>
      </c>
      <c r="K12" s="70"/>
      <c r="L12" s="69">
        <f>SUM(L7:L11)</f>
        <v>3855</v>
      </c>
      <c r="M12" s="70"/>
      <c r="N12" s="969">
        <f>SUM(N7:N11)</f>
        <v>3214.6666666666665</v>
      </c>
      <c r="O12" s="970"/>
      <c r="P12" s="969">
        <f>SUM(P7:P11)</f>
        <v>3549.3333333333335</v>
      </c>
      <c r="Q12" s="970"/>
      <c r="R12" s="971">
        <f>SUM(R7:R11)</f>
        <v>334.66666666666697</v>
      </c>
    </row>
    <row r="13" spans="1:30" ht="13.8" thickBot="1"/>
    <row r="14" spans="1:30" s="1302" customFormat="1" ht="27" customHeight="1" thickBot="1">
      <c r="A14" s="442" t="s">
        <v>172</v>
      </c>
      <c r="B14" s="1308" t="s">
        <v>2</v>
      </c>
      <c r="C14" s="1309"/>
      <c r="D14" s="1310" t="s">
        <v>3</v>
      </c>
      <c r="E14" s="1309"/>
      <c r="F14" s="1311" t="s">
        <v>4</v>
      </c>
      <c r="G14" s="1309"/>
      <c r="H14" s="1307" t="s">
        <v>5</v>
      </c>
      <c r="I14" s="1309"/>
      <c r="J14" s="1307" t="s">
        <v>6</v>
      </c>
      <c r="K14" s="1309"/>
      <c r="L14" s="1307" t="s">
        <v>7</v>
      </c>
      <c r="M14" s="1309"/>
      <c r="N14" s="1174" t="s">
        <v>33</v>
      </c>
      <c r="O14" s="1167"/>
      <c r="P14" s="1174" t="s">
        <v>34</v>
      </c>
      <c r="Q14" s="1167"/>
      <c r="R14" s="1175" t="s">
        <v>35</v>
      </c>
      <c r="S14" s="3239"/>
      <c r="T14" s="4483" t="s">
        <v>440</v>
      </c>
      <c r="U14" s="4484"/>
      <c r="V14" s="4484"/>
      <c r="W14" s="4484"/>
      <c r="X14" s="4484"/>
      <c r="Y14" s="4484"/>
      <c r="Z14" s="4484"/>
      <c r="AA14" s="4484"/>
      <c r="AB14" s="4484"/>
      <c r="AC14" s="4484"/>
      <c r="AD14" s="4485"/>
    </row>
    <row r="15" spans="1:30" s="1300" customFormat="1" ht="13.8" thickBot="1">
      <c r="A15" s="1305" t="s">
        <v>29</v>
      </c>
      <c r="B15" s="1336">
        <v>498</v>
      </c>
      <c r="C15" s="1334"/>
      <c r="D15" s="1338">
        <v>522</v>
      </c>
      <c r="E15" s="1334"/>
      <c r="F15" s="1338">
        <v>491</v>
      </c>
      <c r="G15" s="1334"/>
      <c r="H15" s="1338">
        <v>481</v>
      </c>
      <c r="I15" s="1334"/>
      <c r="J15" s="1338">
        <v>593</v>
      </c>
      <c r="K15" s="1334"/>
      <c r="L15" s="1338">
        <v>662</v>
      </c>
      <c r="M15" s="1315"/>
      <c r="N15" s="1177">
        <f>AVERAGE(B15:F15)</f>
        <v>503.66666666666669</v>
      </c>
      <c r="O15" s="1179"/>
      <c r="P15" s="1177">
        <f>AVERAGE(H15:L15)</f>
        <v>578.66666666666663</v>
      </c>
      <c r="Q15" s="1179"/>
      <c r="R15" s="1169">
        <f>P15-N15</f>
        <v>74.999999999999943</v>
      </c>
      <c r="S15" s="2749"/>
      <c r="T15" s="3052">
        <v>2006</v>
      </c>
      <c r="U15" s="3032"/>
      <c r="V15" s="3032">
        <v>2007</v>
      </c>
      <c r="W15" s="3032"/>
      <c r="X15" s="3032">
        <v>2008</v>
      </c>
      <c r="Y15" s="3032"/>
      <c r="Z15" s="3032">
        <v>2009</v>
      </c>
      <c r="AA15" s="3032"/>
      <c r="AB15" s="3032">
        <v>2010</v>
      </c>
      <c r="AC15" s="3032"/>
      <c r="AD15" s="3545">
        <v>2011</v>
      </c>
    </row>
    <row r="16" spans="1:30" s="1300" customFormat="1">
      <c r="A16" s="1305"/>
      <c r="B16" s="1336"/>
      <c r="C16" s="1334"/>
      <c r="D16" s="1338"/>
      <c r="E16" s="1334"/>
      <c r="F16" s="1338"/>
      <c r="G16" s="1334"/>
      <c r="H16" s="1338"/>
      <c r="I16" s="1334"/>
      <c r="J16" s="1338"/>
      <c r="K16" s="1334"/>
      <c r="L16" s="1338"/>
      <c r="M16" s="1315"/>
      <c r="N16" s="962"/>
      <c r="O16" s="965"/>
      <c r="P16" s="962"/>
      <c r="Q16" s="965"/>
      <c r="R16" s="964"/>
      <c r="S16" s="2749"/>
      <c r="T16" s="3757">
        <f>'Overall Degree Completion PMS I'!B28</f>
        <v>4989</v>
      </c>
      <c r="U16" s="3758"/>
      <c r="V16" s="3758">
        <f>'Overall Degree Completion PMS I'!D28</f>
        <v>4921</v>
      </c>
      <c r="W16" s="3758"/>
      <c r="X16" s="3758">
        <f>'Overall Degree Completion PMS I'!F28</f>
        <v>4714</v>
      </c>
      <c r="Y16" s="3758"/>
      <c r="Z16" s="3758">
        <f>'Overall Degree Completion PMS I'!H28</f>
        <v>4720</v>
      </c>
      <c r="AA16" s="3758"/>
      <c r="AB16" s="3758">
        <f>'Overall Degree Completion PMS I'!J28</f>
        <v>5103</v>
      </c>
      <c r="AC16" s="3758"/>
      <c r="AD16" s="3759">
        <f>'Overall Degree Completion PMS I'!L28</f>
        <v>5250</v>
      </c>
    </row>
    <row r="17" spans="1:30" s="1300" customFormat="1">
      <c r="A17" s="1305" t="s">
        <v>30</v>
      </c>
      <c r="B17" s="1336">
        <v>43</v>
      </c>
      <c r="C17" s="1334"/>
      <c r="D17" s="1338">
        <v>38</v>
      </c>
      <c r="E17" s="1334"/>
      <c r="F17" s="1338">
        <v>36</v>
      </c>
      <c r="G17" s="1334"/>
      <c r="H17" s="1338">
        <v>44</v>
      </c>
      <c r="I17" s="1334"/>
      <c r="J17" s="1338">
        <v>63</v>
      </c>
      <c r="K17" s="1334"/>
      <c r="L17" s="1338">
        <v>53</v>
      </c>
      <c r="M17" s="1315"/>
      <c r="N17" s="962">
        <f>AVERAGE(B17:F17)</f>
        <v>39</v>
      </c>
      <c r="O17" s="963"/>
      <c r="P17" s="962">
        <f>AVERAGE(H17:L17)</f>
        <v>53.333333333333336</v>
      </c>
      <c r="Q17" s="963"/>
      <c r="R17" s="964">
        <f>P17-N17</f>
        <v>14.333333333333336</v>
      </c>
      <c r="S17" s="2749"/>
      <c r="T17" s="3757"/>
      <c r="U17" s="3758"/>
      <c r="V17" s="3758"/>
      <c r="W17" s="3760"/>
      <c r="X17" s="3760"/>
      <c r="Y17" s="3761"/>
      <c r="Z17" s="3760"/>
      <c r="AA17" s="3760"/>
      <c r="AB17" s="3760"/>
      <c r="AC17" s="3760"/>
      <c r="AD17" s="3762"/>
    </row>
    <row r="18" spans="1:30" s="1300" customFormat="1">
      <c r="A18" s="1305"/>
      <c r="B18" s="1336"/>
      <c r="C18" s="1334"/>
      <c r="D18" s="1338"/>
      <c r="E18" s="1334"/>
      <c r="F18" s="1338"/>
      <c r="G18" s="1334"/>
      <c r="H18" s="1338"/>
      <c r="I18" s="1334"/>
      <c r="J18" s="1338"/>
      <c r="K18" s="1334"/>
      <c r="L18" s="1338"/>
      <c r="M18" s="1315"/>
      <c r="N18" s="962"/>
      <c r="O18" s="965"/>
      <c r="P18" s="962"/>
      <c r="Q18" s="965"/>
      <c r="R18" s="964"/>
      <c r="S18" s="2749"/>
      <c r="T18" s="3763">
        <f>B20</f>
        <v>545</v>
      </c>
      <c r="U18" s="3764"/>
      <c r="V18" s="3764">
        <f>D20</f>
        <v>570</v>
      </c>
      <c r="W18" s="3764"/>
      <c r="X18" s="3764">
        <f>F20</f>
        <v>539</v>
      </c>
      <c r="Y18" s="3764"/>
      <c r="Z18" s="3764">
        <f>H20</f>
        <v>544</v>
      </c>
      <c r="AA18" s="3764"/>
      <c r="AB18" s="3764">
        <f>J20</f>
        <v>671</v>
      </c>
      <c r="AC18" s="3764"/>
      <c r="AD18" s="3765">
        <f>L20</f>
        <v>733</v>
      </c>
    </row>
    <row r="19" spans="1:30" s="1300" customFormat="1" ht="13.8" thickBot="1">
      <c r="A19" s="1306" t="s">
        <v>31</v>
      </c>
      <c r="B19" s="1337">
        <v>4</v>
      </c>
      <c r="C19" s="1335"/>
      <c r="D19" s="1339">
        <v>10</v>
      </c>
      <c r="E19" s="1335"/>
      <c r="F19" s="1339">
        <v>12</v>
      </c>
      <c r="G19" s="1335"/>
      <c r="H19" s="1339">
        <v>19</v>
      </c>
      <c r="I19" s="1335"/>
      <c r="J19" s="1339">
        <v>15</v>
      </c>
      <c r="K19" s="1335"/>
      <c r="L19" s="1339">
        <v>18</v>
      </c>
      <c r="M19" s="1316"/>
      <c r="N19" s="966">
        <f>AVERAGE(B19:F19)</f>
        <v>8.6666666666666661</v>
      </c>
      <c r="O19" s="967"/>
      <c r="P19" s="966">
        <f>AVERAGE(H19:L19)</f>
        <v>17.333333333333332</v>
      </c>
      <c r="Q19" s="967"/>
      <c r="R19" s="968">
        <f>P19-N19</f>
        <v>8.6666666666666661</v>
      </c>
      <c r="S19" s="2749"/>
      <c r="T19" s="3556"/>
      <c r="U19" s="3558"/>
      <c r="V19" s="3558"/>
      <c r="W19" s="3557"/>
      <c r="X19" s="3558"/>
      <c r="Y19" s="3559"/>
      <c r="Z19" s="3558"/>
      <c r="AA19" s="3557"/>
      <c r="AB19" s="3558"/>
      <c r="AC19" s="3557"/>
      <c r="AD19" s="3560"/>
    </row>
    <row r="20" spans="1:30" s="1300" customFormat="1" ht="14.4" thickTop="1" thickBot="1">
      <c r="A20" s="1304" t="s">
        <v>32</v>
      </c>
      <c r="B20" s="1312">
        <f>SUM(B15:B19)</f>
        <v>545</v>
      </c>
      <c r="C20" s="1314"/>
      <c r="D20" s="1313">
        <f>SUM(D15:D19)</f>
        <v>570</v>
      </c>
      <c r="E20" s="1314"/>
      <c r="F20" s="1313">
        <f>SUM(F15:F19)</f>
        <v>539</v>
      </c>
      <c r="G20" s="1314"/>
      <c r="H20" s="1313">
        <f>SUM(H15:H19)</f>
        <v>544</v>
      </c>
      <c r="I20" s="1314"/>
      <c r="J20" s="1313">
        <f>SUM(J15:J19)</f>
        <v>671</v>
      </c>
      <c r="K20" s="1314"/>
      <c r="L20" s="1313">
        <f>SUM(L15:L19)</f>
        <v>733</v>
      </c>
      <c r="M20" s="1314"/>
      <c r="N20" s="969">
        <f>AVERAGE(B20:F20)</f>
        <v>551.33333333333337</v>
      </c>
      <c r="O20" s="970"/>
      <c r="P20" s="969">
        <f>AVERAGE(H20:L20)</f>
        <v>649.33333333333337</v>
      </c>
      <c r="Q20" s="970"/>
      <c r="R20" s="971">
        <f>P20-N20</f>
        <v>98</v>
      </c>
      <c r="S20" s="2749"/>
      <c r="T20" s="3553">
        <f>T18/T16</f>
        <v>0.10924032872319102</v>
      </c>
      <c r="U20" s="3554"/>
      <c r="V20" s="3554">
        <f>V18/V16</f>
        <v>0.11583011583011583</v>
      </c>
      <c r="W20" s="3554"/>
      <c r="X20" s="3554">
        <f>X18/X16</f>
        <v>0.11434026304624523</v>
      </c>
      <c r="Y20" s="3554"/>
      <c r="Z20" s="3554">
        <f>Z18/Z16</f>
        <v>0.11525423728813559</v>
      </c>
      <c r="AA20" s="3554"/>
      <c r="AB20" s="3554">
        <f>AB18/AB16</f>
        <v>0.13149127963942778</v>
      </c>
      <c r="AC20" s="3554"/>
      <c r="AD20" s="3555">
        <f>AD18/AD16</f>
        <v>0.13961904761904761</v>
      </c>
    </row>
    <row r="21" spans="1:30" s="1319" customFormat="1" ht="13.8" thickBot="1">
      <c r="A21" s="1322"/>
      <c r="F21" s="1320"/>
      <c r="N21" s="1171"/>
      <c r="O21" s="1171"/>
      <c r="P21" s="1171"/>
      <c r="Q21" s="1171"/>
      <c r="R21" s="1171"/>
      <c r="S21" s="2749"/>
      <c r="T21" s="1321"/>
      <c r="U21" s="3751"/>
      <c r="V21" s="3751"/>
      <c r="W21" s="1321"/>
      <c r="X21" s="1321"/>
      <c r="Y21" s="1321"/>
      <c r="Z21" s="1321"/>
      <c r="AA21" s="1321"/>
      <c r="AB21" s="1321"/>
      <c r="AC21" s="1321"/>
      <c r="AD21" s="1321"/>
    </row>
    <row r="22" spans="1:30" s="1321" customFormat="1" ht="27" customHeight="1" thickBot="1">
      <c r="A22" s="3076" t="s">
        <v>485</v>
      </c>
      <c r="B22" s="1327" t="s">
        <v>2</v>
      </c>
      <c r="C22" s="1328"/>
      <c r="D22" s="1329" t="s">
        <v>3</v>
      </c>
      <c r="E22" s="1328"/>
      <c r="F22" s="1330" t="s">
        <v>4</v>
      </c>
      <c r="G22" s="1328"/>
      <c r="H22" s="1326" t="s">
        <v>5</v>
      </c>
      <c r="I22" s="1328"/>
      <c r="J22" s="1326" t="s">
        <v>6</v>
      </c>
      <c r="K22" s="1328"/>
      <c r="L22" s="1326" t="s">
        <v>7</v>
      </c>
      <c r="M22" s="1328"/>
      <c r="N22" s="1174" t="s">
        <v>33</v>
      </c>
      <c r="O22" s="1167"/>
      <c r="P22" s="1174" t="s">
        <v>34</v>
      </c>
      <c r="Q22" s="1167"/>
      <c r="R22" s="1175" t="s">
        <v>35</v>
      </c>
      <c r="S22" s="3239"/>
      <c r="T22" s="4483" t="s">
        <v>440</v>
      </c>
      <c r="U22" s="4484"/>
      <c r="V22" s="4484"/>
      <c r="W22" s="4484"/>
      <c r="X22" s="4484"/>
      <c r="Y22" s="4484"/>
      <c r="Z22" s="4484"/>
      <c r="AA22" s="4484"/>
      <c r="AB22" s="4484"/>
      <c r="AC22" s="4484"/>
      <c r="AD22" s="4485"/>
    </row>
    <row r="23" spans="1:30" s="1319" customFormat="1" ht="13.8" thickBot="1">
      <c r="A23" s="1324" t="s">
        <v>29</v>
      </c>
      <c r="B23" s="1360">
        <v>514</v>
      </c>
      <c r="C23" s="1358"/>
      <c r="D23" s="1362">
        <v>472</v>
      </c>
      <c r="E23" s="1358"/>
      <c r="F23" s="1362">
        <v>495</v>
      </c>
      <c r="G23" s="1358"/>
      <c r="H23" s="1362">
        <v>503</v>
      </c>
      <c r="I23" s="1358"/>
      <c r="J23" s="1362">
        <v>520</v>
      </c>
      <c r="K23" s="1358"/>
      <c r="L23" s="1362">
        <v>569</v>
      </c>
      <c r="M23" s="1334"/>
      <c r="N23" s="1177">
        <f>AVERAGE(B23:F23)</f>
        <v>493.66666666666669</v>
      </c>
      <c r="O23" s="1179"/>
      <c r="P23" s="1177">
        <f>AVERAGE(H23:L23)</f>
        <v>530.66666666666663</v>
      </c>
      <c r="Q23" s="1179"/>
      <c r="R23" s="1169">
        <f>P23-N23</f>
        <v>36.999999999999943</v>
      </c>
      <c r="S23" s="2749"/>
      <c r="T23" s="3052">
        <v>2006</v>
      </c>
      <c r="U23" s="3032"/>
      <c r="V23" s="3032">
        <v>2007</v>
      </c>
      <c r="W23" s="3032"/>
      <c r="X23" s="3032">
        <v>2008</v>
      </c>
      <c r="Y23" s="3032"/>
      <c r="Z23" s="3032">
        <v>2009</v>
      </c>
      <c r="AA23" s="3032"/>
      <c r="AB23" s="3032">
        <v>2010</v>
      </c>
      <c r="AC23" s="3032"/>
      <c r="AD23" s="3545">
        <v>2011</v>
      </c>
    </row>
    <row r="24" spans="1:30" s="1319" customFormat="1">
      <c r="A24" s="1324"/>
      <c r="B24" s="1360"/>
      <c r="C24" s="1358"/>
      <c r="D24" s="1362"/>
      <c r="E24" s="1358"/>
      <c r="F24" s="1362"/>
      <c r="G24" s="1358"/>
      <c r="H24" s="1362"/>
      <c r="I24" s="1358"/>
      <c r="J24" s="1362"/>
      <c r="K24" s="1358"/>
      <c r="L24" s="1362"/>
      <c r="M24" s="1334"/>
      <c r="N24" s="962"/>
      <c r="O24" s="965"/>
      <c r="P24" s="962"/>
      <c r="Q24" s="965"/>
      <c r="R24" s="964"/>
      <c r="S24" s="2749"/>
      <c r="T24" s="3757">
        <f>'Overall Degree Completion PMS I'!B100</f>
        <v>3791</v>
      </c>
      <c r="U24" s="3758"/>
      <c r="V24" s="3758">
        <f>'Overall Degree Completion PMS I'!D100</f>
        <v>3903</v>
      </c>
      <c r="W24" s="3758"/>
      <c r="X24" s="3758">
        <f>'Overall Degree Completion PMS I'!F100</f>
        <v>4093</v>
      </c>
      <c r="Y24" s="3758"/>
      <c r="Z24" s="3758">
        <f>'Overall Degree Completion PMS I'!H100</f>
        <v>4243</v>
      </c>
      <c r="AA24" s="3758"/>
      <c r="AB24" s="3758">
        <f>'Overall Degree Completion PMS I'!J100</f>
        <v>4331</v>
      </c>
      <c r="AC24" s="3758"/>
      <c r="AD24" s="3759">
        <f>'Overall Degree Completion PMS I'!L100</f>
        <v>4564</v>
      </c>
    </row>
    <row r="25" spans="1:30" s="1319" customFormat="1">
      <c r="A25" s="1324" t="s">
        <v>30</v>
      </c>
      <c r="B25" s="1360">
        <v>163</v>
      </c>
      <c r="C25" s="1358"/>
      <c r="D25" s="1362">
        <v>181</v>
      </c>
      <c r="E25" s="1358"/>
      <c r="F25" s="1362">
        <v>201</v>
      </c>
      <c r="G25" s="1358"/>
      <c r="H25" s="1362">
        <v>163</v>
      </c>
      <c r="I25" s="1358"/>
      <c r="J25" s="1362">
        <v>188</v>
      </c>
      <c r="K25" s="1358"/>
      <c r="L25" s="1362">
        <v>226</v>
      </c>
      <c r="M25" s="1334"/>
      <c r="N25" s="962">
        <f>AVERAGE(B25:F25)</f>
        <v>181.66666666666666</v>
      </c>
      <c r="O25" s="963"/>
      <c r="P25" s="962">
        <f>AVERAGE(H25:L25)</f>
        <v>192.33333333333334</v>
      </c>
      <c r="Q25" s="963"/>
      <c r="R25" s="964">
        <f>P25-N25</f>
        <v>10.666666666666686</v>
      </c>
      <c r="S25" s="2749"/>
      <c r="T25" s="3757"/>
      <c r="U25" s="3758"/>
      <c r="V25" s="3758"/>
      <c r="W25" s="3760"/>
      <c r="X25" s="3760"/>
      <c r="Y25" s="3761"/>
      <c r="Z25" s="3760"/>
      <c r="AA25" s="3760"/>
      <c r="AB25" s="3760"/>
      <c r="AC25" s="3760"/>
      <c r="AD25" s="3762"/>
    </row>
    <row r="26" spans="1:30" s="1319" customFormat="1">
      <c r="A26" s="1324"/>
      <c r="B26" s="1360"/>
      <c r="C26" s="1358"/>
      <c r="D26" s="1362"/>
      <c r="E26" s="1358"/>
      <c r="F26" s="1362"/>
      <c r="G26" s="1358"/>
      <c r="H26" s="1362"/>
      <c r="I26" s="1358"/>
      <c r="J26" s="1362"/>
      <c r="K26" s="1358"/>
      <c r="L26" s="1362"/>
      <c r="M26" s="1334"/>
      <c r="N26" s="962"/>
      <c r="O26" s="965"/>
      <c r="P26" s="962"/>
      <c r="Q26" s="965"/>
      <c r="R26" s="964"/>
      <c r="S26" s="2749"/>
      <c r="T26" s="3763">
        <f>B28</f>
        <v>679</v>
      </c>
      <c r="U26" s="3764"/>
      <c r="V26" s="3764">
        <f>D28</f>
        <v>653</v>
      </c>
      <c r="W26" s="3764"/>
      <c r="X26" s="3764">
        <f>F28</f>
        <v>696</v>
      </c>
      <c r="Y26" s="3764"/>
      <c r="Z26" s="3764">
        <f>H28</f>
        <v>666</v>
      </c>
      <c r="AA26" s="3764"/>
      <c r="AB26" s="3764">
        <f>J28</f>
        <v>708</v>
      </c>
      <c r="AC26" s="3764"/>
      <c r="AD26" s="3765">
        <f>L28</f>
        <v>795</v>
      </c>
    </row>
    <row r="27" spans="1:30" s="1319" customFormat="1" ht="13.8" thickBot="1">
      <c r="A27" s="1325" t="s">
        <v>31</v>
      </c>
      <c r="B27" s="1361">
        <v>2</v>
      </c>
      <c r="C27" s="1359"/>
      <c r="D27" s="1363">
        <v>0</v>
      </c>
      <c r="E27" s="1359"/>
      <c r="F27" s="1363">
        <v>0</v>
      </c>
      <c r="G27" s="1359"/>
      <c r="H27" s="1363">
        <v>0</v>
      </c>
      <c r="I27" s="1359"/>
      <c r="J27" s="1363">
        <v>0</v>
      </c>
      <c r="K27" s="1359"/>
      <c r="L27" s="1363">
        <v>0</v>
      </c>
      <c r="M27" s="1335"/>
      <c r="N27" s="966">
        <f>AVERAGE(B27:F27)</f>
        <v>0.66666666666666663</v>
      </c>
      <c r="O27" s="967"/>
      <c r="P27" s="966">
        <f>AVERAGE(H27:L27)</f>
        <v>0</v>
      </c>
      <c r="Q27" s="967"/>
      <c r="R27" s="968">
        <f>P27-N27</f>
        <v>-0.66666666666666663</v>
      </c>
      <c r="S27" s="2749"/>
      <c r="T27" s="3556"/>
      <c r="U27" s="3558"/>
      <c r="V27" s="3558"/>
      <c r="W27" s="3557"/>
      <c r="X27" s="3558"/>
      <c r="Y27" s="3559"/>
      <c r="Z27" s="3558"/>
      <c r="AA27" s="3557"/>
      <c r="AB27" s="3558"/>
      <c r="AC27" s="3557"/>
      <c r="AD27" s="3560"/>
    </row>
    <row r="28" spans="1:30" s="1319" customFormat="1" ht="14.4" thickTop="1" thickBot="1">
      <c r="A28" s="1323" t="s">
        <v>32</v>
      </c>
      <c r="B28" s="1331">
        <f>SUM(B23:B27)</f>
        <v>679</v>
      </c>
      <c r="C28" s="1333"/>
      <c r="D28" s="1332">
        <f>SUM(D23:D27)</f>
        <v>653</v>
      </c>
      <c r="E28" s="1333"/>
      <c r="F28" s="1332">
        <f>SUM(F23:F27)</f>
        <v>696</v>
      </c>
      <c r="G28" s="1333"/>
      <c r="H28" s="1332">
        <f>SUM(H23:H27)</f>
        <v>666</v>
      </c>
      <c r="I28" s="1333"/>
      <c r="J28" s="1332">
        <f>SUM(J23:J27)</f>
        <v>708</v>
      </c>
      <c r="K28" s="1333"/>
      <c r="L28" s="1332">
        <f>SUM(L23:L27)</f>
        <v>795</v>
      </c>
      <c r="M28" s="1333"/>
      <c r="N28" s="969">
        <f>AVERAGE(B28:F28)</f>
        <v>676</v>
      </c>
      <c r="O28" s="970"/>
      <c r="P28" s="969">
        <f>AVERAGE(H28:L28)</f>
        <v>723</v>
      </c>
      <c r="Q28" s="970"/>
      <c r="R28" s="971">
        <f>P28-N28</f>
        <v>47</v>
      </c>
      <c r="S28" s="2749"/>
      <c r="T28" s="3553">
        <f>T26/T24</f>
        <v>0.17910841466631497</v>
      </c>
      <c r="U28" s="3554"/>
      <c r="V28" s="3554">
        <f>V26/V24</f>
        <v>0.16730719959005894</v>
      </c>
      <c r="W28" s="3554"/>
      <c r="X28" s="3554">
        <f>X26/X24</f>
        <v>0.17004642071829953</v>
      </c>
      <c r="Y28" s="3554"/>
      <c r="Z28" s="3554">
        <f>Z26/Z24</f>
        <v>0.15696441197266087</v>
      </c>
      <c r="AA28" s="3554"/>
      <c r="AB28" s="3554">
        <f>AB26/AB24</f>
        <v>0.16347263911336873</v>
      </c>
      <c r="AC28" s="3554"/>
      <c r="AD28" s="3555">
        <f>AD26/AD24</f>
        <v>0.17418930762489046</v>
      </c>
    </row>
    <row r="29" spans="1:30" s="2068" customFormat="1" ht="13.8" thickBot="1">
      <c r="A29" s="2073"/>
      <c r="F29" s="2072"/>
      <c r="N29" s="1171"/>
      <c r="O29" s="1171"/>
      <c r="P29" s="1171"/>
      <c r="Q29" s="1171"/>
      <c r="R29" s="1171"/>
      <c r="S29" s="2749"/>
      <c r="T29" s="2069"/>
      <c r="U29" s="3751"/>
      <c r="V29" s="3751"/>
      <c r="W29" s="2069"/>
      <c r="X29" s="2069"/>
      <c r="Y29" s="2069"/>
      <c r="Z29" s="2069"/>
      <c r="AA29" s="2069"/>
      <c r="AB29" s="2069"/>
      <c r="AC29" s="2069"/>
      <c r="AD29" s="2069"/>
    </row>
    <row r="30" spans="1:30" s="2069" customFormat="1" ht="27" customHeight="1" thickBot="1">
      <c r="A30" s="442" t="s">
        <v>201</v>
      </c>
      <c r="B30" s="2074" t="s">
        <v>2</v>
      </c>
      <c r="C30" s="2075"/>
      <c r="D30" s="2076" t="s">
        <v>3</v>
      </c>
      <c r="E30" s="2075"/>
      <c r="F30" s="2077" t="s">
        <v>4</v>
      </c>
      <c r="G30" s="2075"/>
      <c r="H30" s="2078" t="s">
        <v>5</v>
      </c>
      <c r="I30" s="2075"/>
      <c r="J30" s="2078" t="s">
        <v>6</v>
      </c>
      <c r="K30" s="2075"/>
      <c r="L30" s="2078" t="s">
        <v>7</v>
      </c>
      <c r="M30" s="2075"/>
      <c r="N30" s="1174" t="s">
        <v>33</v>
      </c>
      <c r="O30" s="1167"/>
      <c r="P30" s="1174" t="s">
        <v>34</v>
      </c>
      <c r="Q30" s="1167"/>
      <c r="R30" s="1175" t="s">
        <v>35</v>
      </c>
      <c r="S30" s="3239"/>
      <c r="T30" s="4483" t="s">
        <v>440</v>
      </c>
      <c r="U30" s="4484"/>
      <c r="V30" s="4484"/>
      <c r="W30" s="4484"/>
      <c r="X30" s="4484"/>
      <c r="Y30" s="4484"/>
      <c r="Z30" s="4484"/>
      <c r="AA30" s="4484"/>
      <c r="AB30" s="4484"/>
      <c r="AC30" s="4484"/>
      <c r="AD30" s="4485"/>
    </row>
    <row r="31" spans="1:30" s="2068" customFormat="1" ht="13.8" thickBot="1">
      <c r="A31" s="2070" t="s">
        <v>29</v>
      </c>
      <c r="B31" s="2091">
        <v>1292</v>
      </c>
      <c r="C31" s="2089"/>
      <c r="D31" s="2092">
        <v>1379</v>
      </c>
      <c r="E31" s="2089"/>
      <c r="F31" s="2092">
        <v>1421</v>
      </c>
      <c r="G31" s="2089"/>
      <c r="H31" s="2092">
        <v>1427</v>
      </c>
      <c r="I31" s="2089"/>
      <c r="J31" s="2092">
        <v>1546</v>
      </c>
      <c r="K31" s="2089"/>
      <c r="L31" s="2092">
        <v>1632</v>
      </c>
      <c r="M31" s="1864"/>
      <c r="N31" s="1177">
        <f>AVERAGE(B31:F31)</f>
        <v>1364</v>
      </c>
      <c r="O31" s="1179"/>
      <c r="P31" s="1177">
        <f>AVERAGE(H31:L31)</f>
        <v>1535</v>
      </c>
      <c r="Q31" s="1179"/>
      <c r="R31" s="1169">
        <f>P31-N31</f>
        <v>171</v>
      </c>
      <c r="S31" s="2749"/>
      <c r="T31" s="3052">
        <v>2006</v>
      </c>
      <c r="U31" s="3032"/>
      <c r="V31" s="3032">
        <v>2007</v>
      </c>
      <c r="W31" s="3032"/>
      <c r="X31" s="3032">
        <v>2008</v>
      </c>
      <c r="Y31" s="3032"/>
      <c r="Z31" s="3032">
        <v>2009</v>
      </c>
      <c r="AA31" s="3032"/>
      <c r="AB31" s="3032">
        <v>2010</v>
      </c>
      <c r="AC31" s="3032"/>
      <c r="AD31" s="3545">
        <v>2011</v>
      </c>
    </row>
    <row r="32" spans="1:30" s="2068" customFormat="1">
      <c r="A32" s="2070"/>
      <c r="B32" s="2093"/>
      <c r="C32" s="2089"/>
      <c r="D32" s="2094"/>
      <c r="E32" s="2089"/>
      <c r="F32" s="2094"/>
      <c r="G32" s="2089"/>
      <c r="H32" s="2094"/>
      <c r="I32" s="2089"/>
      <c r="J32" s="2094"/>
      <c r="K32" s="2089"/>
      <c r="L32" s="2094"/>
      <c r="M32" s="1864"/>
      <c r="N32" s="962"/>
      <c r="O32" s="965"/>
      <c r="P32" s="962"/>
      <c r="Q32" s="965"/>
      <c r="R32" s="964"/>
      <c r="S32" s="2749"/>
      <c r="T32" s="3757">
        <f>'Overall Degree Completion PMS I'!B112</f>
        <v>4441</v>
      </c>
      <c r="U32" s="3758"/>
      <c r="V32" s="3758">
        <f>'Overall Degree Completion PMS I'!D112</f>
        <v>4493</v>
      </c>
      <c r="W32" s="3758"/>
      <c r="X32" s="3758">
        <f>'Overall Degree Completion PMS I'!F112</f>
        <v>4645</v>
      </c>
      <c r="Y32" s="3758"/>
      <c r="Z32" s="3758">
        <f>'Overall Degree Completion PMS I'!H112</f>
        <v>4834</v>
      </c>
      <c r="AA32" s="3758"/>
      <c r="AB32" s="3758">
        <f>'Overall Degree Completion PMS I'!J112</f>
        <v>4983</v>
      </c>
      <c r="AC32" s="3758"/>
      <c r="AD32" s="3759">
        <f>'Overall Degree Completion PMS I'!L112</f>
        <v>5210</v>
      </c>
    </row>
    <row r="33" spans="1:30" s="2068" customFormat="1">
      <c r="A33" s="2070" t="s">
        <v>30</v>
      </c>
      <c r="B33" s="2091">
        <v>111</v>
      </c>
      <c r="C33" s="2089"/>
      <c r="D33" s="2092">
        <v>102</v>
      </c>
      <c r="E33" s="2089"/>
      <c r="F33" s="2092">
        <v>101</v>
      </c>
      <c r="G33" s="2089"/>
      <c r="H33" s="2092">
        <v>104</v>
      </c>
      <c r="I33" s="2089"/>
      <c r="J33" s="2092">
        <v>96</v>
      </c>
      <c r="K33" s="2089"/>
      <c r="L33" s="2092">
        <v>149</v>
      </c>
      <c r="M33" s="1864"/>
      <c r="N33" s="962">
        <f>AVERAGE(B33:F33)</f>
        <v>104.66666666666667</v>
      </c>
      <c r="O33" s="963"/>
      <c r="P33" s="962">
        <f>AVERAGE(H33:L33)</f>
        <v>116.33333333333333</v>
      </c>
      <c r="Q33" s="963"/>
      <c r="R33" s="964">
        <f>P33-N33</f>
        <v>11.666666666666657</v>
      </c>
      <c r="S33" s="2749"/>
      <c r="T33" s="3757"/>
      <c r="U33" s="3758"/>
      <c r="V33" s="3758"/>
      <c r="W33" s="3760"/>
      <c r="X33" s="3760"/>
      <c r="Y33" s="3761"/>
      <c r="Z33" s="3760"/>
      <c r="AA33" s="3760"/>
      <c r="AB33" s="3760"/>
      <c r="AC33" s="3760"/>
      <c r="AD33" s="3762"/>
    </row>
    <row r="34" spans="1:30" s="2068" customFormat="1">
      <c r="A34" s="2070"/>
      <c r="B34" s="2093"/>
      <c r="C34" s="2089"/>
      <c r="D34" s="2094"/>
      <c r="E34" s="2089"/>
      <c r="F34" s="2094"/>
      <c r="G34" s="2089"/>
      <c r="H34" s="2094"/>
      <c r="I34" s="2089"/>
      <c r="J34" s="2094"/>
      <c r="K34" s="2089"/>
      <c r="L34" s="2094"/>
      <c r="M34" s="1864"/>
      <c r="N34" s="962"/>
      <c r="O34" s="965"/>
      <c r="P34" s="962"/>
      <c r="Q34" s="965"/>
      <c r="R34" s="964"/>
      <c r="S34" s="2749"/>
      <c r="T34" s="3763">
        <f>B36</f>
        <v>1564</v>
      </c>
      <c r="U34" s="3764"/>
      <c r="V34" s="3764">
        <f>D36</f>
        <v>1638</v>
      </c>
      <c r="W34" s="3764"/>
      <c r="X34" s="3764">
        <f>F36</f>
        <v>1682</v>
      </c>
      <c r="Y34" s="3764"/>
      <c r="Z34" s="3764">
        <f>H36</f>
        <v>1673</v>
      </c>
      <c r="AA34" s="3764"/>
      <c r="AB34" s="3764">
        <f>J36</f>
        <v>1805</v>
      </c>
      <c r="AC34" s="3764"/>
      <c r="AD34" s="3765">
        <f>L36</f>
        <v>1941</v>
      </c>
    </row>
    <row r="35" spans="1:30" s="2068" customFormat="1" ht="13.8" thickBot="1">
      <c r="A35" s="2071" t="s">
        <v>31</v>
      </c>
      <c r="B35" s="2781">
        <v>161</v>
      </c>
      <c r="C35" s="2778"/>
      <c r="D35" s="2780">
        <v>157</v>
      </c>
      <c r="E35" s="2778"/>
      <c r="F35" s="2780">
        <v>160</v>
      </c>
      <c r="G35" s="2778"/>
      <c r="H35" s="2780">
        <v>142</v>
      </c>
      <c r="I35" s="2778"/>
      <c r="J35" s="2780">
        <v>163</v>
      </c>
      <c r="K35" s="2778"/>
      <c r="L35" s="2780">
        <v>160</v>
      </c>
      <c r="M35" s="3071"/>
      <c r="N35" s="966">
        <f>AVERAGE(B35:F35)</f>
        <v>159.33333333333334</v>
      </c>
      <c r="O35" s="967"/>
      <c r="P35" s="966">
        <f>AVERAGE(H35:L35)</f>
        <v>155</v>
      </c>
      <c r="Q35" s="967"/>
      <c r="R35" s="968">
        <f>P35-N35</f>
        <v>-4.3333333333333428</v>
      </c>
      <c r="S35" s="2749"/>
      <c r="T35" s="3556"/>
      <c r="U35" s="3558"/>
      <c r="V35" s="3558"/>
      <c r="W35" s="3557"/>
      <c r="X35" s="3558"/>
      <c r="Y35" s="3559"/>
      <c r="Z35" s="3558"/>
      <c r="AA35" s="3557"/>
      <c r="AB35" s="3558"/>
      <c r="AC35" s="3557"/>
      <c r="AD35" s="3560"/>
    </row>
    <row r="36" spans="1:30" s="2068" customFormat="1" ht="14.4" thickTop="1" thickBot="1">
      <c r="A36" s="2080" t="s">
        <v>32</v>
      </c>
      <c r="B36" s="1857">
        <f>SUM(B31:B35)</f>
        <v>1564</v>
      </c>
      <c r="C36" s="1859"/>
      <c r="D36" s="1858">
        <f>SUM(D31:D35)</f>
        <v>1638</v>
      </c>
      <c r="E36" s="1859"/>
      <c r="F36" s="1858">
        <f>SUM(F31:F35)</f>
        <v>1682</v>
      </c>
      <c r="G36" s="1859"/>
      <c r="H36" s="1858">
        <f>SUM(H31:H35)</f>
        <v>1673</v>
      </c>
      <c r="I36" s="1859"/>
      <c r="J36" s="1858">
        <f>SUM(J31:J35)</f>
        <v>1805</v>
      </c>
      <c r="K36" s="1859"/>
      <c r="L36" s="1858">
        <f>SUM(L31:L35)</f>
        <v>1941</v>
      </c>
      <c r="M36" s="1859"/>
      <c r="N36" s="969">
        <f>AVERAGE(B36:F36)</f>
        <v>1628</v>
      </c>
      <c r="O36" s="970"/>
      <c r="P36" s="969">
        <f>AVERAGE(H36:L36)</f>
        <v>1806.3333333333333</v>
      </c>
      <c r="Q36" s="970"/>
      <c r="R36" s="971">
        <f>P36-N36</f>
        <v>178.33333333333326</v>
      </c>
      <c r="S36" s="2749"/>
      <c r="T36" s="3553">
        <f>T34/T32</f>
        <v>0.35217293402386851</v>
      </c>
      <c r="U36" s="3554"/>
      <c r="V36" s="3554">
        <f>V34/V32</f>
        <v>0.36456710438459827</v>
      </c>
      <c r="W36" s="3554"/>
      <c r="X36" s="3554">
        <f>X34/X32</f>
        <v>0.36210979547900968</v>
      </c>
      <c r="Y36" s="3554"/>
      <c r="Z36" s="3554">
        <f>Z34/Z32</f>
        <v>0.34609019445593714</v>
      </c>
      <c r="AA36" s="3554"/>
      <c r="AB36" s="3554">
        <f>AB34/AB32</f>
        <v>0.36223158739715033</v>
      </c>
      <c r="AC36" s="3554"/>
      <c r="AD36" s="3555">
        <f>AD34/AD32</f>
        <v>0.37255278310940498</v>
      </c>
    </row>
    <row r="37" spans="1:30" s="2544" customFormat="1" ht="13.8" thickBot="1">
      <c r="A37" s="2547"/>
      <c r="F37" s="2545"/>
      <c r="N37" s="1171"/>
      <c r="O37" s="1171"/>
      <c r="P37" s="1171"/>
      <c r="Q37" s="1171"/>
      <c r="R37" s="1171"/>
      <c r="S37" s="2749"/>
      <c r="T37" s="2546"/>
      <c r="U37" s="3751"/>
      <c r="V37" s="3751"/>
      <c r="W37" s="2546"/>
      <c r="X37" s="2546"/>
      <c r="Y37" s="2546"/>
      <c r="Z37" s="2546"/>
      <c r="AA37" s="2546"/>
      <c r="AB37" s="2546"/>
      <c r="AC37" s="2546"/>
      <c r="AD37" s="2546"/>
    </row>
    <row r="38" spans="1:30" s="2546" customFormat="1" ht="27" customHeight="1" thickBot="1">
      <c r="A38" s="442" t="s">
        <v>224</v>
      </c>
      <c r="B38" s="2552" t="s">
        <v>2</v>
      </c>
      <c r="C38" s="2553"/>
      <c r="D38" s="2554" t="s">
        <v>3</v>
      </c>
      <c r="E38" s="2553"/>
      <c r="F38" s="2555" t="s">
        <v>4</v>
      </c>
      <c r="G38" s="2553"/>
      <c r="H38" s="2551" t="s">
        <v>5</v>
      </c>
      <c r="I38" s="2553"/>
      <c r="J38" s="2551" t="s">
        <v>6</v>
      </c>
      <c r="K38" s="2553"/>
      <c r="L38" s="2551" t="s">
        <v>7</v>
      </c>
      <c r="M38" s="2553"/>
      <c r="N38" s="1174" t="s">
        <v>33</v>
      </c>
      <c r="O38" s="1167"/>
      <c r="P38" s="1174" t="s">
        <v>34</v>
      </c>
      <c r="Q38" s="1167"/>
      <c r="R38" s="1175" t="s">
        <v>35</v>
      </c>
      <c r="S38" s="3239"/>
      <c r="T38" s="4483" t="s">
        <v>440</v>
      </c>
      <c r="U38" s="4484"/>
      <c r="V38" s="4484"/>
      <c r="W38" s="4484"/>
      <c r="X38" s="4484"/>
      <c r="Y38" s="4484"/>
      <c r="Z38" s="4484"/>
      <c r="AA38" s="4484"/>
      <c r="AB38" s="4484"/>
      <c r="AC38" s="4484"/>
      <c r="AD38" s="4485"/>
    </row>
    <row r="39" spans="1:30" s="2544" customFormat="1" ht="13.8" thickBot="1">
      <c r="A39" s="2549" t="s">
        <v>29</v>
      </c>
      <c r="B39" s="2576">
        <v>313</v>
      </c>
      <c r="C39" s="2577"/>
      <c r="D39" s="2578">
        <v>291</v>
      </c>
      <c r="E39" s="2577"/>
      <c r="F39" s="2578">
        <v>267</v>
      </c>
      <c r="G39" s="2577"/>
      <c r="H39" s="2578">
        <v>264</v>
      </c>
      <c r="I39" s="2577"/>
      <c r="J39" s="2578">
        <v>256</v>
      </c>
      <c r="K39" s="2577"/>
      <c r="L39" s="2578">
        <v>263</v>
      </c>
      <c r="M39" s="2559"/>
      <c r="N39" s="1177">
        <f>AVERAGE(B39:F39)</f>
        <v>290.33333333333331</v>
      </c>
      <c r="O39" s="1179"/>
      <c r="P39" s="1177">
        <f>AVERAGE(H39:L39)</f>
        <v>261</v>
      </c>
      <c r="Q39" s="1179"/>
      <c r="R39" s="1169">
        <f>P39-N39</f>
        <v>-29.333333333333314</v>
      </c>
      <c r="S39" s="2749"/>
      <c r="T39" s="3052">
        <v>2006</v>
      </c>
      <c r="U39" s="3032"/>
      <c r="V39" s="3032">
        <v>2007</v>
      </c>
      <c r="W39" s="3032"/>
      <c r="X39" s="3032">
        <v>2008</v>
      </c>
      <c r="Y39" s="3032"/>
      <c r="Z39" s="3032">
        <v>2009</v>
      </c>
      <c r="AA39" s="3032"/>
      <c r="AB39" s="3032">
        <v>2010</v>
      </c>
      <c r="AC39" s="3032"/>
      <c r="AD39" s="3545">
        <v>2011</v>
      </c>
    </row>
    <row r="40" spans="1:30" s="2544" customFormat="1">
      <c r="A40" s="2549"/>
      <c r="B40" s="2576"/>
      <c r="C40" s="2577"/>
      <c r="D40" s="2578"/>
      <c r="E40" s="2577"/>
      <c r="F40" s="2578"/>
      <c r="G40" s="2577"/>
      <c r="H40" s="2578"/>
      <c r="I40" s="2577"/>
      <c r="J40" s="2578"/>
      <c r="K40" s="2577"/>
      <c r="L40" s="2578"/>
      <c r="M40" s="2559"/>
      <c r="N40" s="962"/>
      <c r="O40" s="965"/>
      <c r="P40" s="962"/>
      <c r="Q40" s="965"/>
      <c r="R40" s="964"/>
      <c r="S40" s="2749"/>
      <c r="T40" s="3757">
        <f>'Overall Degree Completion PMS I'!B172</f>
        <v>3717</v>
      </c>
      <c r="U40" s="3758"/>
      <c r="V40" s="3758">
        <f>'Overall Degree Completion PMS I'!D172</f>
        <v>3550</v>
      </c>
      <c r="W40" s="3758"/>
      <c r="X40" s="3758">
        <f>'Overall Degree Completion PMS I'!F172</f>
        <v>3401</v>
      </c>
      <c r="Y40" s="3758"/>
      <c r="Z40" s="3758">
        <f>'Overall Degree Completion PMS I'!H172</f>
        <v>3193</v>
      </c>
      <c r="AA40" s="3758"/>
      <c r="AB40" s="3758">
        <f>'Overall Degree Completion PMS I'!J172</f>
        <v>3303</v>
      </c>
      <c r="AC40" s="3758"/>
      <c r="AD40" s="3759">
        <f>'Overall Degree Completion PMS I'!L172</f>
        <v>3479</v>
      </c>
    </row>
    <row r="41" spans="1:30" s="2544" customFormat="1">
      <c r="A41" s="2549" t="s">
        <v>30</v>
      </c>
      <c r="B41" s="2576">
        <v>79</v>
      </c>
      <c r="C41" s="2577"/>
      <c r="D41" s="2578">
        <v>56</v>
      </c>
      <c r="E41" s="2577"/>
      <c r="F41" s="2578">
        <v>68</v>
      </c>
      <c r="G41" s="2577"/>
      <c r="H41" s="2578">
        <v>79</v>
      </c>
      <c r="I41" s="2577"/>
      <c r="J41" s="2578">
        <v>124</v>
      </c>
      <c r="K41" s="2577"/>
      <c r="L41" s="2578">
        <v>120</v>
      </c>
      <c r="M41" s="2559"/>
      <c r="N41" s="962">
        <f>AVERAGE(B41:F41)</f>
        <v>67.666666666666671</v>
      </c>
      <c r="O41" s="963"/>
      <c r="P41" s="962">
        <f>AVERAGE(H41:L41)</f>
        <v>107.66666666666667</v>
      </c>
      <c r="Q41" s="963"/>
      <c r="R41" s="964">
        <f>P41-N41</f>
        <v>40</v>
      </c>
      <c r="S41" s="2749"/>
      <c r="T41" s="3757"/>
      <c r="U41" s="3758"/>
      <c r="V41" s="3758"/>
      <c r="W41" s="3760"/>
      <c r="X41" s="3760"/>
      <c r="Y41" s="3761"/>
      <c r="Z41" s="3760"/>
      <c r="AA41" s="3760"/>
      <c r="AB41" s="3760"/>
      <c r="AC41" s="3760"/>
      <c r="AD41" s="3762"/>
    </row>
    <row r="42" spans="1:30" s="2544" customFormat="1">
      <c r="A42" s="2549"/>
      <c r="B42" s="2576"/>
      <c r="C42" s="2577"/>
      <c r="D42" s="2578"/>
      <c r="E42" s="2577"/>
      <c r="F42" s="2578"/>
      <c r="G42" s="2577"/>
      <c r="H42" s="2578"/>
      <c r="I42" s="2577"/>
      <c r="J42" s="2578"/>
      <c r="K42" s="2577"/>
      <c r="L42" s="2578"/>
      <c r="M42" s="2559"/>
      <c r="N42" s="962"/>
      <c r="O42" s="965"/>
      <c r="P42" s="962"/>
      <c r="Q42" s="965"/>
      <c r="R42" s="964"/>
      <c r="S42" s="2749"/>
      <c r="T42" s="3763">
        <f>B44</f>
        <v>395</v>
      </c>
      <c r="U42" s="3764"/>
      <c r="V42" s="3764">
        <f>D44</f>
        <v>347</v>
      </c>
      <c r="W42" s="3764"/>
      <c r="X42" s="3764">
        <f>F44</f>
        <v>336</v>
      </c>
      <c r="Y42" s="3764"/>
      <c r="Z42" s="3764">
        <f>H44</f>
        <v>345</v>
      </c>
      <c r="AA42" s="3764"/>
      <c r="AB42" s="3764">
        <f>J44</f>
        <v>381</v>
      </c>
      <c r="AC42" s="3764"/>
      <c r="AD42" s="3765">
        <f>L44</f>
        <v>386</v>
      </c>
    </row>
    <row r="43" spans="1:30" s="2544" customFormat="1" ht="13.8" thickBot="1">
      <c r="A43" s="2550" t="s">
        <v>31</v>
      </c>
      <c r="B43" s="2579">
        <v>3</v>
      </c>
      <c r="C43" s="2580"/>
      <c r="D43" s="2581">
        <v>0</v>
      </c>
      <c r="E43" s="2580"/>
      <c r="F43" s="2581">
        <v>1</v>
      </c>
      <c r="G43" s="2580"/>
      <c r="H43" s="2581">
        <v>2</v>
      </c>
      <c r="I43" s="2580"/>
      <c r="J43" s="2581">
        <v>1</v>
      </c>
      <c r="K43" s="2580"/>
      <c r="L43" s="2581">
        <v>3</v>
      </c>
      <c r="M43" s="2561"/>
      <c r="N43" s="966">
        <f>AVERAGE(B43:F43)</f>
        <v>1.3333333333333333</v>
      </c>
      <c r="O43" s="967"/>
      <c r="P43" s="966">
        <f>AVERAGE(H43:L43)</f>
        <v>2</v>
      </c>
      <c r="Q43" s="967"/>
      <c r="R43" s="968">
        <f>P43-N43</f>
        <v>0.66666666666666674</v>
      </c>
      <c r="S43" s="2749"/>
      <c r="T43" s="3556"/>
      <c r="U43" s="3558"/>
      <c r="V43" s="3558"/>
      <c r="W43" s="3557"/>
      <c r="X43" s="3558"/>
      <c r="Y43" s="3559"/>
      <c r="Z43" s="3558"/>
      <c r="AA43" s="3557"/>
      <c r="AB43" s="3558"/>
      <c r="AC43" s="3557"/>
      <c r="AD43" s="3560"/>
    </row>
    <row r="44" spans="1:30" s="2544" customFormat="1" ht="14.4" thickTop="1" thickBot="1">
      <c r="A44" s="2548" t="s">
        <v>32</v>
      </c>
      <c r="B44" s="2556">
        <f>SUM(B39:B43)</f>
        <v>395</v>
      </c>
      <c r="C44" s="2558"/>
      <c r="D44" s="2557">
        <f>SUM(D39:D43)</f>
        <v>347</v>
      </c>
      <c r="E44" s="2558"/>
      <c r="F44" s="2557">
        <f>SUM(F39:F43)</f>
        <v>336</v>
      </c>
      <c r="G44" s="2558"/>
      <c r="H44" s="2557">
        <f>SUM(H39:H43)</f>
        <v>345</v>
      </c>
      <c r="I44" s="2558"/>
      <c r="J44" s="2557">
        <f>SUM(J39:J43)</f>
        <v>381</v>
      </c>
      <c r="K44" s="2558"/>
      <c r="L44" s="2557">
        <f>SUM(L39:L43)</f>
        <v>386</v>
      </c>
      <c r="M44" s="2558"/>
      <c r="N44" s="969">
        <f>AVERAGE(B44:F44)</f>
        <v>359.33333333333331</v>
      </c>
      <c r="O44" s="970"/>
      <c r="P44" s="969">
        <f>AVERAGE(H44:L44)</f>
        <v>370.66666666666669</v>
      </c>
      <c r="Q44" s="970"/>
      <c r="R44" s="971">
        <f>P44-N44</f>
        <v>11.333333333333371</v>
      </c>
      <c r="S44" s="2749"/>
      <c r="T44" s="3553">
        <f>T42/T40</f>
        <v>0.10626849609900457</v>
      </c>
      <c r="U44" s="3554"/>
      <c r="V44" s="3554">
        <f>V42/V40</f>
        <v>9.7746478873239437E-2</v>
      </c>
      <c r="W44" s="3554"/>
      <c r="X44" s="3554">
        <f>X42/X40</f>
        <v>9.8794472214054685E-2</v>
      </c>
      <c r="Y44" s="3554"/>
      <c r="Z44" s="3554">
        <f>Z42/Z40</f>
        <v>0.10804885687441278</v>
      </c>
      <c r="AA44" s="3554"/>
      <c r="AB44" s="3554">
        <f>AB42/AB40</f>
        <v>0.11534968210717529</v>
      </c>
      <c r="AC44" s="3554"/>
      <c r="AD44" s="3555">
        <f>AD42/AD40</f>
        <v>0.11095142282265019</v>
      </c>
    </row>
    <row r="45" spans="1:30" s="1300" customFormat="1">
      <c r="A45" s="1303"/>
      <c r="F45" s="1301"/>
      <c r="N45" s="1171"/>
      <c r="O45" s="1171"/>
      <c r="P45" s="1171"/>
      <c r="Q45" s="1171"/>
      <c r="R45" s="1171"/>
      <c r="S45" s="2749"/>
      <c r="T45" s="1"/>
      <c r="U45" s="3170"/>
      <c r="V45" s="3170"/>
      <c r="W45" s="1"/>
      <c r="X45" s="1"/>
      <c r="Y45" s="1"/>
      <c r="Z45" s="1"/>
      <c r="AA45" s="1"/>
      <c r="AB45" s="1"/>
      <c r="AC45" s="1"/>
      <c r="AD45" s="1"/>
    </row>
    <row r="46" spans="1:30">
      <c r="A46" s="28" t="s">
        <v>12</v>
      </c>
      <c r="B46" s="5"/>
      <c r="C46" s="4"/>
      <c r="D46" s="4"/>
      <c r="E46" s="4"/>
      <c r="F46" s="3"/>
      <c r="G46" s="4"/>
      <c r="H46" s="4"/>
      <c r="I46" s="4"/>
      <c r="J46" s="4"/>
      <c r="L46" s="4"/>
    </row>
    <row r="47" spans="1:30">
      <c r="A47" s="28" t="s">
        <v>36</v>
      </c>
      <c r="B47" s="4"/>
      <c r="C47" s="4"/>
      <c r="D47" s="4"/>
      <c r="E47" s="4"/>
      <c r="F47" s="3"/>
      <c r="G47" s="4"/>
      <c r="H47" s="4"/>
      <c r="I47" s="4"/>
      <c r="J47" s="4"/>
      <c r="L47" s="4"/>
    </row>
    <row r="48" spans="1:30">
      <c r="A48" s="28" t="s">
        <v>66</v>
      </c>
      <c r="B48" s="4"/>
      <c r="C48" s="4"/>
      <c r="D48" s="4"/>
      <c r="E48" s="4"/>
      <c r="F48" s="3"/>
      <c r="G48" s="4"/>
      <c r="H48" s="4"/>
      <c r="I48" s="4"/>
      <c r="J48" s="4"/>
      <c r="L48" s="4"/>
    </row>
    <row r="49" spans="1:12">
      <c r="A49" s="39" t="s">
        <v>158</v>
      </c>
      <c r="B49" s="4"/>
      <c r="C49" s="4"/>
      <c r="D49" s="4"/>
      <c r="E49" s="4"/>
      <c r="F49" s="3"/>
      <c r="G49" s="4"/>
      <c r="H49" s="4"/>
      <c r="I49" s="4"/>
      <c r="J49" s="99"/>
      <c r="L49" s="4"/>
    </row>
    <row r="50" spans="1:12">
      <c r="A50" s="28" t="s">
        <v>41</v>
      </c>
      <c r="B50" s="4"/>
      <c r="C50" s="4"/>
      <c r="D50" s="4"/>
      <c r="E50" s="4"/>
      <c r="F50" s="3"/>
      <c r="G50" s="4"/>
      <c r="H50" s="4"/>
      <c r="I50" s="4"/>
      <c r="J50" s="4"/>
      <c r="L50" s="4"/>
    </row>
    <row r="51" spans="1:12">
      <c r="A51" s="39" t="s">
        <v>127</v>
      </c>
      <c r="B51" s="4"/>
      <c r="C51" s="4"/>
      <c r="D51" s="4"/>
      <c r="E51" s="4"/>
      <c r="F51" s="3"/>
      <c r="G51" s="4"/>
      <c r="H51" s="4"/>
      <c r="I51" s="4"/>
      <c r="J51" s="4"/>
      <c r="L51" s="4"/>
    </row>
    <row r="52" spans="1:12">
      <c r="A52" s="57" t="s">
        <v>125</v>
      </c>
      <c r="B52" s="4"/>
      <c r="C52" s="4"/>
      <c r="D52" s="4"/>
      <c r="E52" s="4"/>
      <c r="F52" s="3"/>
      <c r="G52" s="4"/>
      <c r="H52" s="4"/>
      <c r="I52" s="4"/>
      <c r="J52" s="4"/>
      <c r="L52" s="4"/>
    </row>
    <row r="53" spans="1:12">
      <c r="A53" s="57"/>
      <c r="B53" s="4"/>
      <c r="C53" s="4"/>
      <c r="D53" s="4"/>
      <c r="E53" s="4"/>
      <c r="F53" s="3"/>
      <c r="G53" s="4"/>
      <c r="H53" s="4"/>
      <c r="I53" s="4"/>
      <c r="J53" s="4"/>
      <c r="L53" s="4"/>
    </row>
    <row r="54" spans="1:12">
      <c r="B54" s="4"/>
      <c r="C54" s="4"/>
      <c r="D54" s="4"/>
      <c r="E54" s="4"/>
      <c r="F54" s="3"/>
      <c r="G54" s="4"/>
      <c r="H54" s="4"/>
      <c r="I54" s="4"/>
      <c r="J54" s="4"/>
      <c r="L54" s="4"/>
    </row>
    <row r="55" spans="1:12">
      <c r="B55" s="4"/>
      <c r="C55" s="4"/>
      <c r="D55" s="4"/>
      <c r="E55" s="4"/>
      <c r="F55" s="3"/>
      <c r="G55" s="4"/>
      <c r="H55" s="4"/>
      <c r="I55" s="4"/>
      <c r="J55" s="4"/>
      <c r="L55" s="4"/>
    </row>
    <row r="56" spans="1:12">
      <c r="B56" s="4"/>
      <c r="C56" s="4"/>
      <c r="D56" s="4"/>
      <c r="E56" s="4"/>
      <c r="F56" s="3"/>
      <c r="G56" s="4"/>
      <c r="H56" s="4"/>
      <c r="I56" s="4"/>
      <c r="J56" s="4"/>
      <c r="L56" s="4"/>
    </row>
    <row r="57" spans="1:12">
      <c r="B57" s="4"/>
      <c r="C57" s="4"/>
      <c r="D57" s="4"/>
      <c r="E57" s="4"/>
      <c r="F57" s="3"/>
      <c r="G57" s="4"/>
      <c r="H57" s="4"/>
      <c r="I57" s="4"/>
      <c r="J57" s="4"/>
      <c r="L57" s="4"/>
    </row>
    <row r="58" spans="1:12">
      <c r="B58" s="4"/>
      <c r="C58" s="4"/>
      <c r="D58" s="4"/>
      <c r="E58" s="4"/>
      <c r="F58" s="3"/>
      <c r="G58" s="4"/>
      <c r="H58" s="4"/>
      <c r="I58" s="4"/>
      <c r="J58" s="4"/>
      <c r="L58" s="4"/>
    </row>
    <row r="59" spans="1:12">
      <c r="B59" s="4"/>
      <c r="C59" s="4"/>
      <c r="D59" s="4"/>
      <c r="E59" s="4"/>
      <c r="F59" s="3"/>
      <c r="G59" s="4"/>
      <c r="H59" s="4"/>
      <c r="I59" s="4"/>
      <c r="J59" s="4"/>
      <c r="L59" s="4"/>
    </row>
    <row r="60" spans="1:12">
      <c r="B60" s="4"/>
      <c r="C60" s="4"/>
      <c r="D60" s="4"/>
      <c r="E60" s="4"/>
      <c r="F60" s="3"/>
      <c r="G60" s="4"/>
      <c r="H60" s="4"/>
      <c r="I60" s="4"/>
      <c r="J60" s="4"/>
      <c r="L60" s="4"/>
    </row>
    <row r="61" spans="1:12">
      <c r="B61" s="4"/>
      <c r="C61" s="4"/>
      <c r="D61" s="4"/>
      <c r="E61" s="4"/>
      <c r="F61" s="3"/>
      <c r="G61" s="4"/>
      <c r="H61" s="4"/>
      <c r="I61" s="4"/>
      <c r="J61" s="4"/>
      <c r="L61" s="4"/>
    </row>
    <row r="62" spans="1:12">
      <c r="B62" s="4"/>
      <c r="C62" s="4"/>
      <c r="D62" s="4"/>
      <c r="E62" s="4"/>
      <c r="F62" s="3"/>
      <c r="G62" s="4"/>
      <c r="H62" s="4"/>
      <c r="I62" s="4"/>
      <c r="J62" s="4"/>
      <c r="L62" s="4"/>
    </row>
    <row r="63" spans="1:12">
      <c r="B63" s="4"/>
      <c r="C63" s="4"/>
      <c r="D63" s="4"/>
      <c r="E63" s="4"/>
      <c r="F63" s="3"/>
      <c r="G63" s="4"/>
      <c r="H63" s="4"/>
      <c r="I63" s="4"/>
      <c r="J63" s="4"/>
      <c r="L63" s="4"/>
    </row>
    <row r="64" spans="1:12">
      <c r="B64" s="4"/>
      <c r="C64" s="4"/>
      <c r="D64" s="4"/>
      <c r="E64" s="4"/>
      <c r="F64" s="3"/>
      <c r="G64" s="4"/>
      <c r="H64" s="4"/>
      <c r="I64" s="4"/>
      <c r="J64" s="4"/>
      <c r="L64" s="4"/>
    </row>
    <row r="65" spans="2:12">
      <c r="B65" s="4"/>
      <c r="C65" s="4"/>
      <c r="D65" s="4"/>
      <c r="E65" s="4"/>
      <c r="F65" s="3"/>
      <c r="G65" s="4"/>
      <c r="H65" s="4"/>
      <c r="I65" s="4"/>
      <c r="J65" s="4"/>
      <c r="L65" s="4"/>
    </row>
    <row r="66" spans="2:12">
      <c r="B66" s="4"/>
      <c r="C66" s="4"/>
      <c r="D66" s="4"/>
      <c r="E66" s="4"/>
      <c r="F66" s="3"/>
      <c r="G66" s="4"/>
      <c r="H66" s="4"/>
      <c r="I66" s="4"/>
      <c r="J66" s="4"/>
      <c r="L66" s="4"/>
    </row>
    <row r="67" spans="2:12">
      <c r="B67" s="4"/>
      <c r="C67" s="4"/>
      <c r="D67" s="4"/>
      <c r="E67" s="4"/>
      <c r="F67" s="3"/>
      <c r="G67" s="4"/>
      <c r="H67" s="4"/>
      <c r="I67" s="4"/>
      <c r="J67" s="4"/>
      <c r="L67" s="4"/>
    </row>
    <row r="68" spans="2:12">
      <c r="B68" s="4"/>
      <c r="C68" s="4"/>
      <c r="D68" s="4"/>
      <c r="E68" s="4"/>
      <c r="F68" s="3"/>
      <c r="G68" s="4"/>
      <c r="H68" s="4"/>
      <c r="I68" s="4"/>
      <c r="J68" s="4"/>
      <c r="L68" s="4"/>
    </row>
    <row r="69" spans="2:12">
      <c r="B69" s="4"/>
      <c r="C69" s="4"/>
      <c r="D69" s="4"/>
      <c r="E69" s="4"/>
      <c r="F69" s="3"/>
      <c r="G69" s="4"/>
      <c r="H69" s="4"/>
      <c r="I69" s="4"/>
      <c r="J69" s="4"/>
      <c r="L69" s="4"/>
    </row>
    <row r="70" spans="2:12">
      <c r="B70" s="4"/>
      <c r="C70" s="4"/>
      <c r="D70" s="4"/>
      <c r="E70" s="4"/>
      <c r="F70" s="3"/>
      <c r="G70" s="4"/>
      <c r="H70" s="4"/>
      <c r="I70" s="4"/>
      <c r="J70" s="4"/>
      <c r="L70" s="4"/>
    </row>
    <row r="71" spans="2:12">
      <c r="B71" s="4"/>
      <c r="C71" s="4"/>
      <c r="D71" s="4"/>
      <c r="E71" s="4"/>
      <c r="F71" s="3"/>
      <c r="G71" s="4"/>
      <c r="H71" s="4"/>
      <c r="I71" s="4"/>
      <c r="J71" s="4"/>
      <c r="L71" s="4"/>
    </row>
    <row r="72" spans="2:12">
      <c r="B72" s="4"/>
      <c r="C72" s="4"/>
      <c r="D72" s="4"/>
      <c r="E72" s="4"/>
      <c r="F72" s="3"/>
      <c r="G72" s="4"/>
      <c r="H72" s="4"/>
      <c r="I72" s="4"/>
      <c r="J72" s="4"/>
      <c r="L72" s="4"/>
    </row>
    <row r="73" spans="2:12">
      <c r="B73" s="4"/>
      <c r="C73" s="4"/>
      <c r="D73" s="4"/>
      <c r="E73" s="4"/>
      <c r="F73" s="3"/>
      <c r="G73" s="4"/>
      <c r="H73" s="4"/>
      <c r="I73" s="4"/>
      <c r="J73" s="4"/>
      <c r="L73" s="4"/>
    </row>
  </sheetData>
  <mergeCells count="8">
    <mergeCell ref="A1:R1"/>
    <mergeCell ref="T14:AD14"/>
    <mergeCell ref="T22:AD22"/>
    <mergeCell ref="T30:AD30"/>
    <mergeCell ref="T38:AD38"/>
    <mergeCell ref="A2:R2"/>
    <mergeCell ref="A3:R3"/>
    <mergeCell ref="A4:R4"/>
  </mergeCells>
  <printOptions horizontalCentered="1"/>
  <pageMargins left="0.7" right="0.7" top="0.28999999999999998" bottom="0.48" header="0.3" footer="0.3"/>
  <pageSetup scale="75" orientation="landscape" r:id="rId1"/>
  <headerFooter alignWithMargins="0">
    <oddFooter>&amp;LHouse Ways and Means Cmte Amendment 1001 2-14-13&amp;R&amp;D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5"/>
  <sheetViews>
    <sheetView topLeftCell="A40" zoomScale="80" zoomScaleNormal="80" workbookViewId="0">
      <selection activeCell="N8" sqref="N8:R15"/>
    </sheetView>
  </sheetViews>
  <sheetFormatPr defaultColWidth="9.109375" defaultRowHeight="13.2"/>
  <cols>
    <col min="1" max="1" width="45.109375" style="11" customWidth="1"/>
    <col min="2" max="2" width="8.33203125" style="3169" bestFit="1" customWidth="1"/>
    <col min="3" max="3" width="1.44140625" style="3169" customWidth="1"/>
    <col min="4" max="4" width="8.33203125" style="3169" bestFit="1" customWidth="1"/>
    <col min="5" max="5" width="1.5546875" style="3169" customWidth="1"/>
    <col min="6" max="6" width="8.33203125" style="2228" bestFit="1" customWidth="1"/>
    <col min="7" max="7" width="1.44140625" style="3169" customWidth="1"/>
    <col min="8" max="8" width="9.33203125" style="3169" customWidth="1"/>
    <col min="9" max="9" width="1.5546875" style="3169" customWidth="1"/>
    <col min="10" max="10" width="8.33203125" style="3169" bestFit="1" customWidth="1"/>
    <col min="11" max="11" width="1.44140625" style="3169" customWidth="1"/>
    <col min="12" max="12" width="8.5546875" style="3169" bestFit="1" customWidth="1"/>
    <col min="13" max="13" width="1.44140625" style="1" customWidth="1"/>
    <col min="14" max="14" width="18.6640625" style="1171" customWidth="1"/>
    <col min="15" max="15" width="1.44140625" style="1171" customWidth="1"/>
    <col min="16" max="16" width="18.6640625" style="1171" customWidth="1"/>
    <col min="17" max="17" width="1.44140625" style="1171" customWidth="1"/>
    <col min="18" max="18" width="18.6640625" style="1171" customWidth="1"/>
    <col min="19" max="16384" width="9.109375" style="1"/>
  </cols>
  <sheetData>
    <row r="1" spans="1:22">
      <c r="A1" s="4479" t="s">
        <v>71</v>
      </c>
      <c r="B1" s="4479"/>
      <c r="C1" s="4479"/>
      <c r="D1" s="4479"/>
      <c r="E1" s="4479"/>
      <c r="F1" s="4479"/>
      <c r="G1" s="4479"/>
      <c r="H1" s="4479"/>
      <c r="I1" s="4479"/>
      <c r="J1" s="4479"/>
      <c r="K1" s="4479"/>
      <c r="L1" s="4479"/>
      <c r="M1" s="4479"/>
      <c r="N1" s="4479"/>
      <c r="O1" s="4479"/>
      <c r="P1" s="4479"/>
      <c r="Q1" s="4479"/>
      <c r="R1" s="4479"/>
    </row>
    <row r="2" spans="1:22">
      <c r="A2" s="4480" t="s">
        <v>42</v>
      </c>
      <c r="B2" s="4480"/>
      <c r="C2" s="4480"/>
      <c r="D2" s="4480"/>
      <c r="E2" s="4480"/>
      <c r="F2" s="4480"/>
      <c r="G2" s="4480"/>
      <c r="H2" s="4480"/>
      <c r="I2" s="4480"/>
      <c r="J2" s="4480"/>
      <c r="K2" s="4480"/>
      <c r="L2" s="4480"/>
      <c r="M2" s="4480"/>
      <c r="N2" s="4480"/>
      <c r="O2" s="4480"/>
      <c r="P2" s="4480"/>
      <c r="Q2" s="4480"/>
      <c r="R2" s="4480"/>
    </row>
    <row r="3" spans="1:22">
      <c r="A3" s="4481" t="s">
        <v>0</v>
      </c>
      <c r="B3" s="4481"/>
      <c r="C3" s="4481"/>
      <c r="D3" s="4481"/>
      <c r="E3" s="4481"/>
      <c r="F3" s="4481"/>
      <c r="G3" s="4481"/>
      <c r="H3" s="4481"/>
      <c r="I3" s="4481"/>
      <c r="J3" s="4481"/>
      <c r="K3" s="4481"/>
      <c r="L3" s="4481"/>
      <c r="M3" s="4481"/>
      <c r="N3" s="4481"/>
      <c r="O3" s="4481"/>
      <c r="P3" s="4481"/>
      <c r="Q3" s="4481"/>
      <c r="R3" s="4481"/>
    </row>
    <row r="4" spans="1:22">
      <c r="A4" s="4481" t="s">
        <v>88</v>
      </c>
      <c r="B4" s="4481"/>
      <c r="C4" s="4481"/>
      <c r="D4" s="4481"/>
      <c r="E4" s="4481"/>
      <c r="F4" s="4481"/>
      <c r="G4" s="4481"/>
      <c r="H4" s="4481"/>
      <c r="I4" s="4481"/>
      <c r="J4" s="4481"/>
      <c r="K4" s="4481"/>
      <c r="L4" s="4481"/>
      <c r="M4" s="4481"/>
      <c r="N4" s="4481"/>
      <c r="O4" s="4481"/>
      <c r="P4" s="4481"/>
      <c r="Q4" s="4481"/>
      <c r="R4" s="4481"/>
    </row>
    <row r="5" spans="1:22" ht="13.8" thickBot="1">
      <c r="A5" s="52" t="s">
        <v>1</v>
      </c>
      <c r="B5" s="53"/>
      <c r="C5" s="53"/>
      <c r="D5" s="53"/>
      <c r="E5" s="53"/>
      <c r="F5" s="53"/>
      <c r="G5" s="53"/>
      <c r="H5" s="53"/>
      <c r="I5" s="53"/>
      <c r="J5" s="53"/>
      <c r="K5" s="53"/>
      <c r="L5" s="53"/>
      <c r="M5" s="52"/>
      <c r="O5" s="1172"/>
      <c r="Q5" s="1172"/>
    </row>
    <row r="6" spans="1:22" s="7" customFormat="1" ht="27" thickBot="1">
      <c r="A6" s="442" t="s">
        <v>191</v>
      </c>
      <c r="B6" s="3172" t="s">
        <v>2</v>
      </c>
      <c r="C6" s="3173"/>
      <c r="D6" s="3174" t="s">
        <v>3</v>
      </c>
      <c r="E6" s="3173"/>
      <c r="F6" s="3175" t="s">
        <v>4</v>
      </c>
      <c r="G6" s="3173"/>
      <c r="H6" s="3176" t="s">
        <v>5</v>
      </c>
      <c r="I6" s="3173"/>
      <c r="J6" s="3176" t="s">
        <v>6</v>
      </c>
      <c r="K6" s="3173"/>
      <c r="L6" s="3176" t="s">
        <v>7</v>
      </c>
      <c r="M6" s="61"/>
      <c r="N6" s="1174" t="s">
        <v>33</v>
      </c>
      <c r="O6" s="1167"/>
      <c r="P6" s="1174" t="s">
        <v>34</v>
      </c>
      <c r="Q6" s="1167"/>
      <c r="R6" s="1175" t="s">
        <v>35</v>
      </c>
      <c r="T6" s="3246"/>
    </row>
    <row r="7" spans="1:22">
      <c r="A7" s="17" t="s">
        <v>43</v>
      </c>
      <c r="B7" s="1346"/>
      <c r="C7" s="1168"/>
      <c r="D7" s="43"/>
      <c r="E7" s="1168"/>
      <c r="F7" s="43"/>
      <c r="G7" s="1168"/>
      <c r="H7" s="43"/>
      <c r="I7" s="1168"/>
      <c r="J7" s="43"/>
      <c r="K7" s="1168"/>
      <c r="L7" s="43"/>
      <c r="M7" s="25"/>
      <c r="N7" s="1165"/>
      <c r="O7" s="1170"/>
      <c r="P7" s="1165"/>
      <c r="Q7" s="1170"/>
      <c r="R7" s="1173"/>
    </row>
    <row r="8" spans="1:22">
      <c r="A8" s="15" t="s">
        <v>44</v>
      </c>
      <c r="B8" s="3207">
        <f>B19+B30+B41+B52+B63+B74+B85+B96+B107+B118+B129+B140</f>
        <v>18875.708518314372</v>
      </c>
      <c r="C8" s="3208"/>
      <c r="D8" s="218">
        <f>D19+D30+D41+D52+D63+D74+D85+D96+D107+D118+D129+D140</f>
        <v>19538.483946796179</v>
      </c>
      <c r="E8" s="3208"/>
      <c r="F8" s="218">
        <f>F19+F30+F41+F52+F63+F74+F85+F96+F107+F118+F129+F140</f>
        <v>21423.624468538535</v>
      </c>
      <c r="G8" s="3208"/>
      <c r="H8" s="218">
        <f>H19+H30+H41+H52+H63+H74+H85+H96+H107+H118+H129+H140</f>
        <v>22497</v>
      </c>
      <c r="I8" s="3208"/>
      <c r="J8" s="218">
        <f>J19+J30+J41+J52+J63+J74+J85+J96+J107+J118+J129+J140</f>
        <v>31289</v>
      </c>
      <c r="K8" s="3208"/>
      <c r="L8" s="218">
        <f>L19+L30+L41+L52+L63+L74+L85+L96+L107+L118+L129+L140</f>
        <v>30404</v>
      </c>
      <c r="M8" s="72"/>
      <c r="N8" s="962">
        <f>AVERAGE(B8:F8)</f>
        <v>19945.938977883026</v>
      </c>
      <c r="O8" s="963"/>
      <c r="P8" s="962">
        <f>AVERAGE(H8:L8)</f>
        <v>28063.333333333332</v>
      </c>
      <c r="Q8" s="963"/>
      <c r="R8" s="964">
        <f>P8-N8</f>
        <v>8117.3943554503057</v>
      </c>
      <c r="T8" s="3166"/>
    </row>
    <row r="9" spans="1:22">
      <c r="A9" s="15" t="s">
        <v>45</v>
      </c>
      <c r="B9" s="3207">
        <f t="shared" ref="B9:D14" si="0">B20+B31+B42+B53+B64+B75+B86+B97+B108+B119+B130+B141</f>
        <v>13150.576484775089</v>
      </c>
      <c r="C9" s="225"/>
      <c r="D9" s="217">
        <f t="shared" si="0"/>
        <v>13451.178139459387</v>
      </c>
      <c r="E9" s="225"/>
      <c r="F9" s="217">
        <f t="shared" ref="F9" si="1">F20+F31+F42+F53+F64+F75+F86+F97+F108+F119+F130+F141</f>
        <v>14092.070548956857</v>
      </c>
      <c r="G9" s="225"/>
      <c r="H9" s="217">
        <f t="shared" ref="H9" si="2">H20+H31+H42+H53+H64+H75+H86+H97+H108+H119+H130+H141</f>
        <v>13668</v>
      </c>
      <c r="I9" s="225"/>
      <c r="J9" s="217">
        <f t="shared" ref="J9" si="3">J20+J31+J42+J53+J64+J75+J86+J97+J108+J119+J130+J141</f>
        <v>18644</v>
      </c>
      <c r="K9" s="225"/>
      <c r="L9" s="217">
        <f t="shared" ref="L9" si="4">L20+L31+L42+L53+L64+L75+L86+L97+L108+L119+L130+L141</f>
        <v>21870</v>
      </c>
      <c r="M9" s="74"/>
      <c r="N9" s="962">
        <f t="shared" ref="N9:N10" si="5">AVERAGE(B9:F9)</f>
        <v>13564.608391063777</v>
      </c>
      <c r="O9" s="963"/>
      <c r="P9" s="962">
        <f t="shared" ref="P9:P10" si="6">AVERAGE(H9:L9)</f>
        <v>18060.666666666668</v>
      </c>
      <c r="Q9" s="963"/>
      <c r="R9" s="964">
        <f t="shared" ref="R9:R10" si="7">P9-N9</f>
        <v>4496.0582756028907</v>
      </c>
      <c r="T9" s="3166"/>
      <c r="V9" s="3166"/>
    </row>
    <row r="10" spans="1:22">
      <c r="A10" s="15" t="s">
        <v>46</v>
      </c>
      <c r="B10" s="3207">
        <f t="shared" si="0"/>
        <v>9602.5369066100648</v>
      </c>
      <c r="C10" s="225"/>
      <c r="D10" s="217">
        <f t="shared" si="0"/>
        <v>10117.465366487191</v>
      </c>
      <c r="E10" s="225"/>
      <c r="F10" s="217">
        <f t="shared" ref="F10" si="8">F21+F32+F43+F54+F65+F76+F87+F98+F109+F120+F131+F142</f>
        <v>10329.438860909455</v>
      </c>
      <c r="G10" s="225"/>
      <c r="H10" s="217">
        <f t="shared" ref="H10" si="9">H21+H32+H43+H54+H65+H76+H87+H98+H109+H120+H131+H142</f>
        <v>9597</v>
      </c>
      <c r="I10" s="225"/>
      <c r="J10" s="217">
        <f t="shared" ref="J10" si="10">J21+J32+J43+J54+J65+J76+J87+J98+J109+J120+J131+J142</f>
        <v>12836</v>
      </c>
      <c r="K10" s="225"/>
      <c r="L10" s="217">
        <f t="shared" ref="L10" si="11">L21+L32+L43+L54+L65+L76+L87+L98+L109+L120+L131+L142</f>
        <v>15522</v>
      </c>
      <c r="M10" s="74"/>
      <c r="N10" s="962">
        <f t="shared" si="5"/>
        <v>10016.480378002236</v>
      </c>
      <c r="O10" s="963"/>
      <c r="P10" s="962">
        <f t="shared" si="6"/>
        <v>12651.666666666666</v>
      </c>
      <c r="Q10" s="963"/>
      <c r="R10" s="964">
        <f t="shared" si="7"/>
        <v>2635.1862886644303</v>
      </c>
      <c r="T10" s="3166"/>
    </row>
    <row r="11" spans="1:22">
      <c r="A11" s="15"/>
      <c r="B11" s="3207"/>
      <c r="C11" s="1347"/>
      <c r="D11" s="1342"/>
      <c r="E11" s="1347"/>
      <c r="F11" s="1342"/>
      <c r="G11" s="1347"/>
      <c r="H11" s="1342"/>
      <c r="I11" s="1347"/>
      <c r="J11" s="1342"/>
      <c r="K11" s="1347"/>
      <c r="L11" s="1342"/>
      <c r="M11" s="34"/>
      <c r="N11" s="1165"/>
      <c r="O11" s="1178"/>
      <c r="P11" s="1165"/>
      <c r="Q11" s="1178"/>
      <c r="R11" s="1173"/>
    </row>
    <row r="12" spans="1:22">
      <c r="A12" s="109" t="s">
        <v>87</v>
      </c>
      <c r="B12" s="3207"/>
      <c r="C12" s="1347"/>
      <c r="D12" s="1342"/>
      <c r="E12" s="1347"/>
      <c r="F12" s="1342"/>
      <c r="G12" s="1347"/>
      <c r="H12" s="1342"/>
      <c r="I12" s="1347"/>
      <c r="J12" s="1342"/>
      <c r="K12" s="1347"/>
      <c r="L12" s="1342"/>
      <c r="M12" s="34"/>
      <c r="N12" s="1165"/>
      <c r="O12" s="1178"/>
      <c r="P12" s="1165"/>
      <c r="Q12" s="1178"/>
      <c r="R12" s="1173"/>
    </row>
    <row r="13" spans="1:22">
      <c r="A13" s="15" t="s">
        <v>45</v>
      </c>
      <c r="B13" s="3207">
        <f t="shared" si="0"/>
        <v>7966</v>
      </c>
      <c r="C13" s="225"/>
      <c r="D13" s="217">
        <f t="shared" si="0"/>
        <v>8117</v>
      </c>
      <c r="E13" s="225"/>
      <c r="F13" s="217">
        <f t="shared" ref="F13" si="12">F24+F35+F46+F57+F68+F79+F90+F101+F112+F123+F134+F145</f>
        <v>8084</v>
      </c>
      <c r="G13" s="225"/>
      <c r="H13" s="217">
        <f t="shared" ref="H13" si="13">H24+H35+H46+H57+H68+H79+H90+H101+H112+H123+H134+H145</f>
        <v>8375</v>
      </c>
      <c r="I13" s="225"/>
      <c r="J13" s="217">
        <f t="shared" ref="J13" si="14">J24+J35+J46+J57+J68+J79+J90+J101+J112+J123+J134+J145</f>
        <v>9080</v>
      </c>
      <c r="K13" s="225"/>
      <c r="L13" s="217">
        <f t="shared" ref="L13" si="15">L24+L35+L46+L57+L68+L79+L90+L101+L112+L123+L134+L145</f>
        <v>9316</v>
      </c>
      <c r="M13" s="74"/>
      <c r="N13" s="962">
        <f t="shared" ref="N13:N14" si="16">AVERAGE(B13:F13)</f>
        <v>8055.666666666667</v>
      </c>
      <c r="O13" s="963"/>
      <c r="P13" s="962">
        <f t="shared" ref="P13:P14" si="17">AVERAGE(H13:L13)</f>
        <v>8923.6666666666661</v>
      </c>
      <c r="Q13" s="963"/>
      <c r="R13" s="964">
        <f t="shared" ref="R13:R14" si="18">P13-N13</f>
        <v>867.99999999999909</v>
      </c>
      <c r="T13" s="3166"/>
    </row>
    <row r="14" spans="1:22" ht="13.8" thickBot="1">
      <c r="A14" s="16" t="s">
        <v>47</v>
      </c>
      <c r="B14" s="3209">
        <f t="shared" si="0"/>
        <v>8694</v>
      </c>
      <c r="C14" s="1343"/>
      <c r="D14" s="1340">
        <f t="shared" si="0"/>
        <v>8664</v>
      </c>
      <c r="E14" s="1343"/>
      <c r="F14" s="1340">
        <f t="shared" ref="F14" si="19">F25+F36+F47+F58+F69+F80+F91+F102+F113+F124+F135+F146</f>
        <v>8615</v>
      </c>
      <c r="G14" s="1343"/>
      <c r="H14" s="1340">
        <f t="shared" ref="H14" si="20">H25+H36+H47+H58+H69+H80+H91+H102+H113+H124+H135+H146</f>
        <v>8637</v>
      </c>
      <c r="I14" s="1343"/>
      <c r="J14" s="1340">
        <f t="shared" ref="J14" si="21">J25+J36+J47+J58+J69+J80+J91+J102+J113+J124+J135+J146</f>
        <v>9337</v>
      </c>
      <c r="K14" s="1343"/>
      <c r="L14" s="1340">
        <f t="shared" ref="L14" si="22">L25+L36+L47+L58+L69+L80+L91+L102+L113+L124+L135+L146</f>
        <v>9506</v>
      </c>
      <c r="M14" s="81"/>
      <c r="N14" s="966">
        <f t="shared" si="16"/>
        <v>8657.6666666666661</v>
      </c>
      <c r="O14" s="967"/>
      <c r="P14" s="966">
        <f t="shared" si="17"/>
        <v>9160</v>
      </c>
      <c r="Q14" s="967"/>
      <c r="R14" s="968">
        <f t="shared" si="18"/>
        <v>502.33333333333394</v>
      </c>
      <c r="T14" s="3166"/>
    </row>
    <row r="15" spans="1:22" ht="14.4" thickTop="1" thickBot="1">
      <c r="A15" s="14" t="s">
        <v>49</v>
      </c>
      <c r="B15" s="129">
        <f>SUM(B8:B14)</f>
        <v>58288.821909699531</v>
      </c>
      <c r="C15" s="224"/>
      <c r="D15" s="130">
        <f>SUM(D8:D14)</f>
        <v>59888.127452742759</v>
      </c>
      <c r="E15" s="224"/>
      <c r="F15" s="130">
        <f>SUM(F8:F14)</f>
        <v>62544.133878404849</v>
      </c>
      <c r="G15" s="224"/>
      <c r="H15" s="130">
        <f>SUM(H8:H14)</f>
        <v>62774</v>
      </c>
      <c r="I15" s="224"/>
      <c r="J15" s="130">
        <f>SUM(J8:J14)</f>
        <v>81186</v>
      </c>
      <c r="K15" s="224"/>
      <c r="L15" s="130">
        <f>SUM(L8:L14)</f>
        <v>86618</v>
      </c>
      <c r="M15" s="70"/>
      <c r="N15" s="969">
        <f>SUM(N8:N14)</f>
        <v>60240.361080282368</v>
      </c>
      <c r="O15" s="970"/>
      <c r="P15" s="969">
        <f>SUM(P8:P14)</f>
        <v>76859.333333333328</v>
      </c>
      <c r="Q15" s="970"/>
      <c r="R15" s="971">
        <f>SUM(R8:R14)</f>
        <v>16618.972253050961</v>
      </c>
    </row>
    <row r="16" spans="1:22" ht="13.8" thickBot="1"/>
    <row r="17" spans="1:28" s="1349" customFormat="1" ht="25.5" customHeight="1" thickBot="1">
      <c r="A17" s="442" t="s">
        <v>174</v>
      </c>
      <c r="B17" s="3172" t="s">
        <v>2</v>
      </c>
      <c r="C17" s="3173"/>
      <c r="D17" s="3174" t="s">
        <v>3</v>
      </c>
      <c r="E17" s="3173"/>
      <c r="F17" s="3175" t="s">
        <v>4</v>
      </c>
      <c r="G17" s="3173"/>
      <c r="H17" s="3176" t="s">
        <v>5</v>
      </c>
      <c r="I17" s="3173"/>
      <c r="J17" s="3176" t="s">
        <v>6</v>
      </c>
      <c r="K17" s="3173"/>
      <c r="L17" s="3176" t="s">
        <v>7</v>
      </c>
      <c r="M17" s="1355"/>
      <c r="N17" s="1174" t="s">
        <v>33</v>
      </c>
      <c r="O17" s="1167"/>
      <c r="P17" s="1174" t="s">
        <v>34</v>
      </c>
      <c r="Q17" s="1167"/>
      <c r="R17" s="1175" t="s">
        <v>35</v>
      </c>
    </row>
    <row r="18" spans="1:28" s="1348" customFormat="1">
      <c r="A18" s="1354" t="s">
        <v>43</v>
      </c>
      <c r="B18" s="1346"/>
      <c r="C18" s="1168"/>
      <c r="D18" s="43"/>
      <c r="E18" s="1168"/>
      <c r="F18" s="43"/>
      <c r="G18" s="1168"/>
      <c r="H18" s="43"/>
      <c r="I18" s="1168"/>
      <c r="J18" s="43"/>
      <c r="K18" s="1168"/>
      <c r="L18" s="43"/>
      <c r="M18" s="25"/>
      <c r="N18" s="1165"/>
      <c r="O18" s="1170"/>
      <c r="P18" s="1165"/>
      <c r="Q18" s="1170"/>
      <c r="R18" s="1173"/>
    </row>
    <row r="19" spans="1:28" s="1348" customFormat="1">
      <c r="A19" s="1352" t="s">
        <v>44</v>
      </c>
      <c r="B19" s="1164"/>
      <c r="C19" s="223"/>
      <c r="D19" s="128"/>
      <c r="E19" s="223"/>
      <c r="F19" s="128"/>
      <c r="G19" s="223"/>
      <c r="H19" s="128"/>
      <c r="I19" s="223"/>
      <c r="J19" s="128"/>
      <c r="K19" s="223"/>
      <c r="L19" s="128"/>
      <c r="M19" s="1357"/>
      <c r="N19" s="962"/>
      <c r="O19" s="963"/>
      <c r="P19" s="962"/>
      <c r="Q19" s="963"/>
      <c r="R19" s="964"/>
    </row>
    <row r="20" spans="1:28" s="1348" customFormat="1">
      <c r="A20" s="1352" t="s">
        <v>45</v>
      </c>
      <c r="B20" s="177"/>
      <c r="C20" s="225"/>
      <c r="D20" s="217"/>
      <c r="E20" s="225"/>
      <c r="F20" s="217"/>
      <c r="G20" s="225"/>
      <c r="H20" s="217"/>
      <c r="I20" s="225"/>
      <c r="J20" s="217"/>
      <c r="K20" s="225"/>
      <c r="L20" s="217"/>
      <c r="M20" s="1358"/>
      <c r="N20" s="962"/>
      <c r="O20" s="963"/>
      <c r="P20" s="962"/>
      <c r="Q20" s="963"/>
      <c r="R20" s="964"/>
    </row>
    <row r="21" spans="1:28" s="1348" customFormat="1">
      <c r="A21" s="1352" t="s">
        <v>46</v>
      </c>
      <c r="B21" s="177"/>
      <c r="C21" s="225"/>
      <c r="D21" s="217"/>
      <c r="E21" s="225"/>
      <c r="F21" s="217"/>
      <c r="G21" s="225"/>
      <c r="H21" s="217"/>
      <c r="I21" s="225"/>
      <c r="J21" s="217"/>
      <c r="K21" s="225"/>
      <c r="L21" s="217"/>
      <c r="M21" s="1358"/>
      <c r="N21" s="962"/>
      <c r="O21" s="963"/>
      <c r="P21" s="962"/>
      <c r="Q21" s="963"/>
      <c r="R21" s="964"/>
      <c r="T21" s="3547"/>
      <c r="U21" s="3547"/>
      <c r="V21" s="3547"/>
      <c r="W21" s="3547"/>
      <c r="X21" s="3547"/>
      <c r="Y21" s="3547"/>
      <c r="Z21" s="3547"/>
      <c r="AA21" s="3547"/>
      <c r="AB21" s="3547"/>
    </row>
    <row r="22" spans="1:28" s="1348" customFormat="1">
      <c r="A22" s="1352"/>
      <c r="B22" s="1341"/>
      <c r="C22" s="1347"/>
      <c r="D22" s="1342"/>
      <c r="E22" s="1347"/>
      <c r="F22" s="1342"/>
      <c r="G22" s="1347"/>
      <c r="H22" s="1342"/>
      <c r="I22" s="1347"/>
      <c r="J22" s="1342"/>
      <c r="K22" s="1347"/>
      <c r="L22" s="1342"/>
      <c r="M22" s="34"/>
      <c r="N22" s="1165"/>
      <c r="O22" s="1178"/>
      <c r="P22" s="1165"/>
      <c r="Q22" s="1178"/>
      <c r="R22" s="1173"/>
      <c r="T22" s="218"/>
      <c r="U22" s="3550"/>
      <c r="V22" s="3550"/>
      <c r="W22" s="3551"/>
      <c r="X22" s="3550"/>
      <c r="Y22" s="3550"/>
      <c r="Z22" s="3550"/>
      <c r="AA22" s="3550"/>
      <c r="AB22" s="3550"/>
    </row>
    <row r="23" spans="1:28" s="1348" customFormat="1" ht="13.8" thickBot="1">
      <c r="A23" s="109" t="s">
        <v>87</v>
      </c>
      <c r="B23" s="1341"/>
      <c r="C23" s="1347"/>
      <c r="D23" s="1342"/>
      <c r="E23" s="1347"/>
      <c r="F23" s="1342"/>
      <c r="G23" s="1347"/>
      <c r="H23" s="1342"/>
      <c r="I23" s="1347"/>
      <c r="J23" s="1342"/>
      <c r="K23" s="1347"/>
      <c r="L23" s="1342"/>
      <c r="M23" s="34"/>
      <c r="N23" s="1165"/>
      <c r="O23" s="1178"/>
      <c r="P23" s="1165"/>
      <c r="Q23" s="1178"/>
      <c r="R23" s="1173"/>
    </row>
    <row r="24" spans="1:28" s="1348" customFormat="1">
      <c r="A24" s="1352" t="s">
        <v>45</v>
      </c>
      <c r="B24" s="177">
        <v>198</v>
      </c>
      <c r="C24" s="225"/>
      <c r="D24" s="217">
        <v>206</v>
      </c>
      <c r="E24" s="225"/>
      <c r="F24" s="217">
        <v>196</v>
      </c>
      <c r="G24" s="225"/>
      <c r="H24" s="217">
        <v>235</v>
      </c>
      <c r="I24" s="225"/>
      <c r="J24" s="217">
        <v>243</v>
      </c>
      <c r="K24" s="225"/>
      <c r="L24" s="217">
        <v>250</v>
      </c>
      <c r="M24" s="1358"/>
      <c r="N24" s="962">
        <f t="shared" ref="N24:N25" si="23">AVERAGE(B24:F24)</f>
        <v>200</v>
      </c>
      <c r="O24" s="963"/>
      <c r="P24" s="962">
        <f t="shared" ref="P24:P25" si="24">AVERAGE(H24:L24)</f>
        <v>242.66666666666666</v>
      </c>
      <c r="Q24" s="963"/>
      <c r="R24" s="964">
        <f t="shared" ref="R24:R25" si="25">P24-N24</f>
        <v>42.666666666666657</v>
      </c>
      <c r="T24" s="4483" t="s">
        <v>366</v>
      </c>
      <c r="U24" s="4484"/>
      <c r="V24" s="4484"/>
      <c r="W24" s="4484"/>
      <c r="X24" s="4484"/>
      <c r="Y24" s="4484"/>
      <c r="Z24" s="4484"/>
      <c r="AA24" s="4484"/>
      <c r="AB24" s="4485"/>
    </row>
    <row r="25" spans="1:28" s="1348" customFormat="1" ht="13.8" thickBot="1">
      <c r="A25" s="1353" t="s">
        <v>47</v>
      </c>
      <c r="B25" s="1345">
        <v>208</v>
      </c>
      <c r="C25" s="1343"/>
      <c r="D25" s="1340">
        <v>218</v>
      </c>
      <c r="E25" s="1343"/>
      <c r="F25" s="1340">
        <v>197</v>
      </c>
      <c r="G25" s="1343"/>
      <c r="H25" s="1340">
        <v>262</v>
      </c>
      <c r="I25" s="1343"/>
      <c r="J25" s="1340">
        <v>304</v>
      </c>
      <c r="K25" s="1343"/>
      <c r="L25" s="1340">
        <v>267</v>
      </c>
      <c r="M25" s="1359"/>
      <c r="N25" s="966">
        <f t="shared" si="23"/>
        <v>207.66666666666666</v>
      </c>
      <c r="O25" s="967"/>
      <c r="P25" s="966">
        <f t="shared" si="24"/>
        <v>277.66666666666669</v>
      </c>
      <c r="Q25" s="967"/>
      <c r="R25" s="968">
        <f t="shared" si="25"/>
        <v>70.000000000000028</v>
      </c>
      <c r="T25" s="3052">
        <v>2007</v>
      </c>
      <c r="U25" s="3032"/>
      <c r="V25" s="3032">
        <v>2008</v>
      </c>
      <c r="W25" s="3032"/>
      <c r="X25" s="3032">
        <v>2009</v>
      </c>
      <c r="Y25" s="3032"/>
      <c r="Z25" s="3032">
        <v>2010</v>
      </c>
      <c r="AA25" s="3032"/>
      <c r="AB25" s="3545">
        <v>2011</v>
      </c>
    </row>
    <row r="26" spans="1:28" s="1348" customFormat="1" ht="14.4" thickTop="1" thickBot="1">
      <c r="A26" s="1351" t="s">
        <v>49</v>
      </c>
      <c r="B26" s="129">
        <f>SUM(B19:B25)</f>
        <v>406</v>
      </c>
      <c r="C26" s="224"/>
      <c r="D26" s="130">
        <f>SUM(D19:D25)</f>
        <v>424</v>
      </c>
      <c r="E26" s="224"/>
      <c r="F26" s="130">
        <f>SUM(F19:F25)</f>
        <v>393</v>
      </c>
      <c r="G26" s="224"/>
      <c r="H26" s="130">
        <f>SUM(H19:H25)</f>
        <v>497</v>
      </c>
      <c r="I26" s="224"/>
      <c r="J26" s="130">
        <f>SUM(J19:J25)</f>
        <v>547</v>
      </c>
      <c r="K26" s="224"/>
      <c r="L26" s="130">
        <f>SUM(L19:L25)</f>
        <v>517</v>
      </c>
      <c r="M26" s="1356"/>
      <c r="N26" s="969">
        <f t="shared" ref="N26" si="26">AVERAGE(B26:F26)</f>
        <v>407.66666666666669</v>
      </c>
      <c r="O26" s="970"/>
      <c r="P26" s="969">
        <f t="shared" ref="P26" si="27">AVERAGE(H26:L26)</f>
        <v>520.33333333333337</v>
      </c>
      <c r="Q26" s="970"/>
      <c r="R26" s="971">
        <f t="shared" ref="R26" si="28">P26-N26</f>
        <v>112.66666666666669</v>
      </c>
      <c r="T26" s="3553">
        <f>D26/'Student Enrollment BRS VIII '!B118</f>
        <v>0.15622697126013266</v>
      </c>
      <c r="U26" s="3554"/>
      <c r="V26" s="3554">
        <f>F26/'Student Enrollment BRS VIII '!D118</f>
        <v>0.14582560296846012</v>
      </c>
      <c r="W26" s="3554"/>
      <c r="X26" s="3554">
        <f>H26/'Student Enrollment BRS VIII '!F118</f>
        <v>0.1699145299145299</v>
      </c>
      <c r="Y26" s="3554"/>
      <c r="Z26" s="3554">
        <f>J26/'Student Enrollment BRS VIII '!H118</f>
        <v>0.16687004270896888</v>
      </c>
      <c r="AA26" s="3554"/>
      <c r="AB26" s="3555">
        <f>L26/'Student Enrollment BRS VIII '!J118</f>
        <v>0.14218921892189218</v>
      </c>
    </row>
    <row r="27" spans="1:28" s="1364" customFormat="1" ht="13.8" thickBot="1">
      <c r="A27" s="1366"/>
      <c r="B27" s="3169"/>
      <c r="C27" s="3169"/>
      <c r="D27" s="3169"/>
      <c r="E27" s="3169"/>
      <c r="F27" s="2228"/>
      <c r="G27" s="3169"/>
      <c r="H27" s="3169"/>
      <c r="I27" s="3169"/>
      <c r="J27" s="3169"/>
      <c r="K27" s="3169"/>
      <c r="L27" s="3169"/>
      <c r="N27" s="1171"/>
      <c r="O27" s="1171"/>
      <c r="P27" s="1171"/>
      <c r="Q27" s="1171"/>
      <c r="R27" s="1171"/>
    </row>
    <row r="28" spans="1:28" s="1365" customFormat="1" ht="25.5" customHeight="1" thickBot="1">
      <c r="A28" s="442" t="s">
        <v>175</v>
      </c>
      <c r="B28" s="3172" t="s">
        <v>2</v>
      </c>
      <c r="C28" s="3173"/>
      <c r="D28" s="3174" t="s">
        <v>3</v>
      </c>
      <c r="E28" s="3173"/>
      <c r="F28" s="3175" t="s">
        <v>4</v>
      </c>
      <c r="G28" s="3173"/>
      <c r="H28" s="3176" t="s">
        <v>5</v>
      </c>
      <c r="I28" s="3173"/>
      <c r="J28" s="3176" t="s">
        <v>6</v>
      </c>
      <c r="K28" s="3173"/>
      <c r="L28" s="3176" t="s">
        <v>7</v>
      </c>
      <c r="M28" s="1371"/>
      <c r="N28" s="1174" t="s">
        <v>33</v>
      </c>
      <c r="O28" s="1167"/>
      <c r="P28" s="1174" t="s">
        <v>34</v>
      </c>
      <c r="Q28" s="1167"/>
      <c r="R28" s="1175" t="s">
        <v>35</v>
      </c>
    </row>
    <row r="29" spans="1:28" s="1364" customFormat="1">
      <c r="A29" s="1370" t="s">
        <v>43</v>
      </c>
      <c r="B29" s="1346"/>
      <c r="C29" s="1168"/>
      <c r="D29" s="43"/>
      <c r="E29" s="1168"/>
      <c r="F29" s="43"/>
      <c r="G29" s="1168"/>
      <c r="H29" s="43"/>
      <c r="I29" s="1168"/>
      <c r="J29" s="43"/>
      <c r="K29" s="1168"/>
      <c r="L29" s="43"/>
      <c r="M29" s="25"/>
      <c r="N29" s="1165"/>
      <c r="O29" s="1170"/>
      <c r="P29" s="1165"/>
      <c r="Q29" s="1170"/>
      <c r="R29" s="1173"/>
    </row>
    <row r="30" spans="1:28" s="1364" customFormat="1">
      <c r="A30" s="1368" t="s">
        <v>44</v>
      </c>
      <c r="B30" s="1164"/>
      <c r="C30" s="223"/>
      <c r="D30" s="128"/>
      <c r="E30" s="223"/>
      <c r="F30" s="128"/>
      <c r="G30" s="223"/>
      <c r="H30" s="128"/>
      <c r="I30" s="223"/>
      <c r="J30" s="128"/>
      <c r="K30" s="223"/>
      <c r="L30" s="128"/>
      <c r="M30" s="1373"/>
      <c r="N30" s="962"/>
      <c r="O30" s="963"/>
      <c r="P30" s="962"/>
      <c r="Q30" s="963"/>
      <c r="R30" s="964"/>
    </row>
    <row r="31" spans="1:28" s="1364" customFormat="1">
      <c r="A31" s="1368" t="s">
        <v>45</v>
      </c>
      <c r="B31" s="177"/>
      <c r="C31" s="225"/>
      <c r="D31" s="217"/>
      <c r="E31" s="225"/>
      <c r="F31" s="217"/>
      <c r="G31" s="225"/>
      <c r="H31" s="217"/>
      <c r="I31" s="225"/>
      <c r="J31" s="217"/>
      <c r="K31" s="225"/>
      <c r="L31" s="217"/>
      <c r="M31" s="1374"/>
      <c r="N31" s="962"/>
      <c r="O31" s="963"/>
      <c r="P31" s="962"/>
      <c r="Q31" s="963"/>
      <c r="R31" s="964"/>
    </row>
    <row r="32" spans="1:28" s="1364" customFormat="1">
      <c r="A32" s="1368" t="s">
        <v>46</v>
      </c>
      <c r="B32" s="177"/>
      <c r="C32" s="225"/>
      <c r="D32" s="217"/>
      <c r="E32" s="225"/>
      <c r="F32" s="217"/>
      <c r="G32" s="225"/>
      <c r="H32" s="217"/>
      <c r="I32" s="225"/>
      <c r="J32" s="217"/>
      <c r="K32" s="225"/>
      <c r="L32" s="217"/>
      <c r="M32" s="1374"/>
      <c r="N32" s="962"/>
      <c r="O32" s="963"/>
      <c r="P32" s="962"/>
      <c r="Q32" s="963"/>
      <c r="R32" s="964"/>
    </row>
    <row r="33" spans="1:28" s="1364" customFormat="1">
      <c r="A33" s="1368"/>
      <c r="B33" s="1341"/>
      <c r="C33" s="1347"/>
      <c r="D33" s="1342"/>
      <c r="E33" s="1347"/>
      <c r="F33" s="1342"/>
      <c r="G33" s="1347"/>
      <c r="H33" s="1342"/>
      <c r="I33" s="1347"/>
      <c r="J33" s="1342"/>
      <c r="K33" s="1347"/>
      <c r="L33" s="1342"/>
      <c r="M33" s="34"/>
      <c r="N33" s="1165"/>
      <c r="O33" s="1178"/>
      <c r="P33" s="1165"/>
      <c r="Q33" s="1178"/>
      <c r="R33" s="1173"/>
    </row>
    <row r="34" spans="1:28" s="1364" customFormat="1" ht="13.8" thickBot="1">
      <c r="A34" s="109" t="s">
        <v>87</v>
      </c>
      <c r="B34" s="1341"/>
      <c r="C34" s="1347"/>
      <c r="D34" s="1342"/>
      <c r="E34" s="1347"/>
      <c r="F34" s="1342"/>
      <c r="G34" s="1347"/>
      <c r="H34" s="1342"/>
      <c r="I34" s="1347"/>
      <c r="J34" s="1342"/>
      <c r="K34" s="1347"/>
      <c r="L34" s="1342"/>
      <c r="M34" s="34"/>
      <c r="N34" s="1165"/>
      <c r="O34" s="1178"/>
      <c r="P34" s="1165"/>
      <c r="Q34" s="1178"/>
      <c r="R34" s="1173"/>
    </row>
    <row r="35" spans="1:28" s="1364" customFormat="1">
      <c r="A35" s="1368" t="s">
        <v>45</v>
      </c>
      <c r="B35" s="177">
        <v>248</v>
      </c>
      <c r="C35" s="225"/>
      <c r="D35" s="217">
        <v>241</v>
      </c>
      <c r="E35" s="225"/>
      <c r="F35" s="217">
        <v>213</v>
      </c>
      <c r="G35" s="225"/>
      <c r="H35" s="217">
        <v>232</v>
      </c>
      <c r="I35" s="225"/>
      <c r="J35" s="217">
        <v>252</v>
      </c>
      <c r="K35" s="225"/>
      <c r="L35" s="217">
        <v>268</v>
      </c>
      <c r="M35" s="1374"/>
      <c r="N35" s="962">
        <f t="shared" ref="N35:N37" si="29">AVERAGE(B35:F35)</f>
        <v>234</v>
      </c>
      <c r="O35" s="963"/>
      <c r="P35" s="962">
        <f t="shared" ref="P35:P37" si="30">AVERAGE(H35:L35)</f>
        <v>250.66666666666666</v>
      </c>
      <c r="Q35" s="963"/>
      <c r="R35" s="964">
        <f t="shared" ref="R35:R37" si="31">P35-N35</f>
        <v>16.666666666666657</v>
      </c>
      <c r="T35" s="4483" t="s">
        <v>366</v>
      </c>
      <c r="U35" s="4484"/>
      <c r="V35" s="4484"/>
      <c r="W35" s="4484"/>
      <c r="X35" s="4484"/>
      <c r="Y35" s="4484"/>
      <c r="Z35" s="4484"/>
      <c r="AA35" s="4484"/>
      <c r="AB35" s="4485"/>
    </row>
    <row r="36" spans="1:28" s="1364" customFormat="1" ht="13.8" thickBot="1">
      <c r="A36" s="1369" t="s">
        <v>47</v>
      </c>
      <c r="B36" s="1345">
        <v>243</v>
      </c>
      <c r="C36" s="1343"/>
      <c r="D36" s="1340">
        <v>319</v>
      </c>
      <c r="E36" s="1343"/>
      <c r="F36" s="1340">
        <v>313</v>
      </c>
      <c r="G36" s="1343"/>
      <c r="H36" s="1340">
        <v>244</v>
      </c>
      <c r="I36" s="1343"/>
      <c r="J36" s="1340">
        <v>307</v>
      </c>
      <c r="K36" s="1343"/>
      <c r="L36" s="1340">
        <v>330</v>
      </c>
      <c r="M36" s="1375"/>
      <c r="N36" s="966">
        <f t="shared" si="29"/>
        <v>291.66666666666669</v>
      </c>
      <c r="O36" s="967"/>
      <c r="P36" s="966">
        <f t="shared" si="30"/>
        <v>293.66666666666669</v>
      </c>
      <c r="Q36" s="967"/>
      <c r="R36" s="968">
        <f t="shared" si="31"/>
        <v>2</v>
      </c>
      <c r="T36" s="3052">
        <v>2007</v>
      </c>
      <c r="U36" s="3032"/>
      <c r="V36" s="3032">
        <v>2008</v>
      </c>
      <c r="W36" s="3032"/>
      <c r="X36" s="3032">
        <v>2009</v>
      </c>
      <c r="Y36" s="3032"/>
      <c r="Z36" s="3032">
        <v>2010</v>
      </c>
      <c r="AA36" s="3032"/>
      <c r="AB36" s="3545">
        <v>2011</v>
      </c>
    </row>
    <row r="37" spans="1:28" s="1364" customFormat="1" ht="14.4" thickTop="1" thickBot="1">
      <c r="A37" s="1367" t="s">
        <v>49</v>
      </c>
      <c r="B37" s="129">
        <f>SUM(B30:B36)</f>
        <v>491</v>
      </c>
      <c r="C37" s="224"/>
      <c r="D37" s="130">
        <f>SUM(D30:D36)</f>
        <v>560</v>
      </c>
      <c r="E37" s="224"/>
      <c r="F37" s="130">
        <f>SUM(F30:F36)</f>
        <v>526</v>
      </c>
      <c r="G37" s="224"/>
      <c r="H37" s="130">
        <f>SUM(H30:H36)</f>
        <v>476</v>
      </c>
      <c r="I37" s="224"/>
      <c r="J37" s="130">
        <f>SUM(J30:J36)</f>
        <v>559</v>
      </c>
      <c r="K37" s="224"/>
      <c r="L37" s="130">
        <f>SUM(L30:L36)</f>
        <v>598</v>
      </c>
      <c r="M37" s="1372"/>
      <c r="N37" s="969">
        <f t="shared" si="29"/>
        <v>525.66666666666663</v>
      </c>
      <c r="O37" s="970"/>
      <c r="P37" s="969">
        <f t="shared" si="30"/>
        <v>544.33333333333337</v>
      </c>
      <c r="Q37" s="970"/>
      <c r="R37" s="971">
        <f t="shared" si="31"/>
        <v>18.666666666666742</v>
      </c>
      <c r="T37" s="3553">
        <f>D37/'Student Enrollment BRS VIII '!B154</f>
        <v>0.15491009681881052</v>
      </c>
      <c r="U37" s="3554"/>
      <c r="V37" s="3554">
        <f>F37/'Student Enrollment BRS VIII '!D154</f>
        <v>0.148461755574372</v>
      </c>
      <c r="W37" s="3554"/>
      <c r="X37" s="3554">
        <f>H37/'Student Enrollment BRS VIII '!F154</f>
        <v>0.13958944281524927</v>
      </c>
      <c r="Y37" s="3554"/>
      <c r="Z37" s="3554">
        <f>J37/'Student Enrollment BRS VIII '!H154</f>
        <v>0.14576271186440679</v>
      </c>
      <c r="AA37" s="3554"/>
      <c r="AB37" s="3555">
        <f>L37/'Student Enrollment BRS VIII '!J154</f>
        <v>0.15025125628140704</v>
      </c>
    </row>
    <row r="38" spans="1:28" s="1393" customFormat="1" ht="13.8" thickBot="1">
      <c r="A38" s="1395"/>
      <c r="B38" s="3169"/>
      <c r="C38" s="3169"/>
      <c r="D38" s="3169"/>
      <c r="E38" s="3169"/>
      <c r="F38" s="2228"/>
      <c r="G38" s="3169"/>
      <c r="H38" s="3169"/>
      <c r="I38" s="3169"/>
      <c r="J38" s="3169"/>
      <c r="K38" s="3169"/>
      <c r="L38" s="3169"/>
      <c r="N38" s="1171"/>
      <c r="O38" s="1171"/>
      <c r="P38" s="1171"/>
      <c r="Q38" s="1171"/>
      <c r="R38" s="1171"/>
    </row>
    <row r="39" spans="1:28" s="1394" customFormat="1" ht="25.5" customHeight="1" thickBot="1">
      <c r="A39" s="442" t="s">
        <v>176</v>
      </c>
      <c r="B39" s="3172" t="s">
        <v>2</v>
      </c>
      <c r="C39" s="3173"/>
      <c r="D39" s="3174" t="s">
        <v>3</v>
      </c>
      <c r="E39" s="3173"/>
      <c r="F39" s="3175" t="s">
        <v>4</v>
      </c>
      <c r="G39" s="3173"/>
      <c r="H39" s="3176" t="s">
        <v>5</v>
      </c>
      <c r="I39" s="3173"/>
      <c r="J39" s="3176" t="s">
        <v>6</v>
      </c>
      <c r="K39" s="3173"/>
      <c r="L39" s="3176" t="s">
        <v>7</v>
      </c>
      <c r="M39" s="1401"/>
      <c r="N39" s="1174" t="s">
        <v>33</v>
      </c>
      <c r="O39" s="1167"/>
      <c r="P39" s="1174" t="s">
        <v>34</v>
      </c>
      <c r="Q39" s="1167"/>
      <c r="R39" s="1175" t="s">
        <v>35</v>
      </c>
    </row>
    <row r="40" spans="1:28" s="1393" customFormat="1">
      <c r="A40" s="1399" t="s">
        <v>43</v>
      </c>
      <c r="B40" s="1346"/>
      <c r="C40" s="1168"/>
      <c r="D40" s="43"/>
      <c r="E40" s="1168"/>
      <c r="F40" s="43"/>
      <c r="G40" s="1168"/>
      <c r="H40" s="43"/>
      <c r="I40" s="1168"/>
      <c r="J40" s="43"/>
      <c r="K40" s="1168"/>
      <c r="L40" s="43"/>
      <c r="M40" s="25"/>
      <c r="N40" s="1165"/>
      <c r="O40" s="1170"/>
      <c r="P40" s="1165"/>
      <c r="Q40" s="1170"/>
      <c r="R40" s="1173"/>
    </row>
    <row r="41" spans="1:28" s="1393" customFormat="1">
      <c r="A41" s="1397" t="s">
        <v>44</v>
      </c>
      <c r="B41" s="1164"/>
      <c r="C41" s="223"/>
      <c r="D41" s="128"/>
      <c r="E41" s="223"/>
      <c r="F41" s="128"/>
      <c r="G41" s="223"/>
      <c r="H41" s="128"/>
      <c r="I41" s="223"/>
      <c r="J41" s="128"/>
      <c r="K41" s="223"/>
      <c r="L41" s="128"/>
      <c r="M41" s="1403"/>
      <c r="N41" s="962"/>
      <c r="O41" s="963"/>
      <c r="P41" s="962"/>
      <c r="Q41" s="963"/>
      <c r="R41" s="964"/>
    </row>
    <row r="42" spans="1:28" s="1393" customFormat="1">
      <c r="A42" s="1397" t="s">
        <v>45</v>
      </c>
      <c r="B42" s="177"/>
      <c r="C42" s="225"/>
      <c r="D42" s="217"/>
      <c r="E42" s="225"/>
      <c r="F42" s="217"/>
      <c r="G42" s="225"/>
      <c r="H42" s="217"/>
      <c r="I42" s="225"/>
      <c r="J42" s="217"/>
      <c r="K42" s="225"/>
      <c r="L42" s="217"/>
      <c r="M42" s="1404"/>
      <c r="N42" s="962"/>
      <c r="O42" s="963"/>
      <c r="P42" s="962"/>
      <c r="Q42" s="963"/>
      <c r="R42" s="964"/>
    </row>
    <row r="43" spans="1:28" s="1393" customFormat="1">
      <c r="A43" s="1397" t="s">
        <v>46</v>
      </c>
      <c r="B43" s="177"/>
      <c r="C43" s="225"/>
      <c r="D43" s="217"/>
      <c r="E43" s="225"/>
      <c r="F43" s="217"/>
      <c r="G43" s="225"/>
      <c r="H43" s="217"/>
      <c r="I43" s="225"/>
      <c r="J43" s="217"/>
      <c r="K43" s="225"/>
      <c r="L43" s="217"/>
      <c r="M43" s="1404"/>
      <c r="N43" s="962"/>
      <c r="O43" s="963"/>
      <c r="P43" s="962"/>
      <c r="Q43" s="963"/>
      <c r="R43" s="964"/>
    </row>
    <row r="44" spans="1:28" s="1393" customFormat="1">
      <c r="A44" s="1397"/>
      <c r="B44" s="1341"/>
      <c r="C44" s="1347"/>
      <c r="D44" s="1342"/>
      <c r="E44" s="1347"/>
      <c r="F44" s="1342"/>
      <c r="G44" s="1347"/>
      <c r="H44" s="1342"/>
      <c r="I44" s="1347"/>
      <c r="J44" s="1342"/>
      <c r="K44" s="1347"/>
      <c r="L44" s="1342"/>
      <c r="M44" s="34"/>
      <c r="N44" s="1165"/>
      <c r="O44" s="1178"/>
      <c r="P44" s="1165"/>
      <c r="Q44" s="1178"/>
      <c r="R44" s="1173"/>
    </row>
    <row r="45" spans="1:28" s="1393" customFormat="1" ht="13.8" thickBot="1">
      <c r="A45" s="109" t="s">
        <v>87</v>
      </c>
      <c r="B45" s="1341"/>
      <c r="C45" s="1347"/>
      <c r="D45" s="1342"/>
      <c r="E45" s="1347"/>
      <c r="F45" s="1342"/>
      <c r="G45" s="1347"/>
      <c r="H45" s="1342"/>
      <c r="I45" s="1347"/>
      <c r="J45" s="1342"/>
      <c r="K45" s="1347"/>
      <c r="L45" s="1342"/>
      <c r="M45" s="34"/>
      <c r="N45" s="1165"/>
      <c r="O45" s="1178"/>
      <c r="P45" s="1165"/>
      <c r="Q45" s="1178"/>
      <c r="R45" s="1173"/>
    </row>
    <row r="46" spans="1:28" s="1393" customFormat="1">
      <c r="A46" s="1397" t="s">
        <v>45</v>
      </c>
      <c r="B46" s="177">
        <v>405</v>
      </c>
      <c r="C46" s="225"/>
      <c r="D46" s="217">
        <v>440</v>
      </c>
      <c r="E46" s="225"/>
      <c r="F46" s="217">
        <v>497</v>
      </c>
      <c r="G46" s="225"/>
      <c r="H46" s="217">
        <v>504</v>
      </c>
      <c r="I46" s="225"/>
      <c r="J46" s="217">
        <v>648</v>
      </c>
      <c r="K46" s="225"/>
      <c r="L46" s="217">
        <v>732</v>
      </c>
      <c r="M46" s="1404"/>
      <c r="N46" s="962">
        <f t="shared" ref="N46:N48" si="32">AVERAGE(B46:F46)</f>
        <v>447.33333333333331</v>
      </c>
      <c r="O46" s="963"/>
      <c r="P46" s="962">
        <f t="shared" ref="P46:P48" si="33">AVERAGE(H46:L46)</f>
        <v>628</v>
      </c>
      <c r="Q46" s="963"/>
      <c r="R46" s="964">
        <f t="shared" ref="R46:R48" si="34">P46-N46</f>
        <v>180.66666666666669</v>
      </c>
      <c r="T46" s="4483" t="s">
        <v>366</v>
      </c>
      <c r="U46" s="4484"/>
      <c r="V46" s="4484"/>
      <c r="W46" s="4484"/>
      <c r="X46" s="4484"/>
      <c r="Y46" s="4484"/>
      <c r="Z46" s="4484"/>
      <c r="AA46" s="4484"/>
      <c r="AB46" s="4485"/>
    </row>
    <row r="47" spans="1:28" s="1393" customFormat="1" ht="13.8" thickBot="1">
      <c r="A47" s="1398" t="s">
        <v>47</v>
      </c>
      <c r="B47" s="1345">
        <v>464</v>
      </c>
      <c r="C47" s="1343"/>
      <c r="D47" s="1340">
        <v>540</v>
      </c>
      <c r="E47" s="1343"/>
      <c r="F47" s="1340">
        <v>570</v>
      </c>
      <c r="G47" s="1343"/>
      <c r="H47" s="1340">
        <v>570</v>
      </c>
      <c r="I47" s="1343"/>
      <c r="J47" s="1340">
        <v>623</v>
      </c>
      <c r="K47" s="1343"/>
      <c r="L47" s="1340">
        <v>704</v>
      </c>
      <c r="M47" s="1405"/>
      <c r="N47" s="966">
        <f t="shared" si="32"/>
        <v>524.66666666666663</v>
      </c>
      <c r="O47" s="967"/>
      <c r="P47" s="966">
        <f t="shared" si="33"/>
        <v>632.33333333333337</v>
      </c>
      <c r="Q47" s="967"/>
      <c r="R47" s="968">
        <f t="shared" si="34"/>
        <v>107.66666666666674</v>
      </c>
      <c r="T47" s="3052">
        <v>2007</v>
      </c>
      <c r="U47" s="3032"/>
      <c r="V47" s="3032">
        <v>2008</v>
      </c>
      <c r="W47" s="3032"/>
      <c r="X47" s="3032">
        <v>2009</v>
      </c>
      <c r="Y47" s="3032"/>
      <c r="Z47" s="3032">
        <v>2010</v>
      </c>
      <c r="AA47" s="3032"/>
      <c r="AB47" s="3545">
        <v>2011</v>
      </c>
    </row>
    <row r="48" spans="1:28" s="1393" customFormat="1" ht="14.4" thickTop="1" thickBot="1">
      <c r="A48" s="1396" t="s">
        <v>49</v>
      </c>
      <c r="B48" s="129">
        <f>SUM(B41:B47)</f>
        <v>869</v>
      </c>
      <c r="C48" s="224"/>
      <c r="D48" s="130">
        <f>SUM(D41:D47)</f>
        <v>980</v>
      </c>
      <c r="E48" s="224"/>
      <c r="F48" s="130">
        <f>SUM(F41:F47)</f>
        <v>1067</v>
      </c>
      <c r="G48" s="224"/>
      <c r="H48" s="130">
        <f>SUM(H41:H47)</f>
        <v>1074</v>
      </c>
      <c r="I48" s="224"/>
      <c r="J48" s="130">
        <f>SUM(J41:J47)</f>
        <v>1271</v>
      </c>
      <c r="K48" s="224"/>
      <c r="L48" s="130">
        <f>SUM(L41:L47)</f>
        <v>1436</v>
      </c>
      <c r="M48" s="1402"/>
      <c r="N48" s="969">
        <f t="shared" si="32"/>
        <v>972</v>
      </c>
      <c r="O48" s="970"/>
      <c r="P48" s="969">
        <f t="shared" si="33"/>
        <v>1260.3333333333333</v>
      </c>
      <c r="Q48" s="970"/>
      <c r="R48" s="971">
        <f t="shared" si="34"/>
        <v>288.33333333333326</v>
      </c>
      <c r="T48" s="3553">
        <f>D48/'Student Enrollment BRS VIII '!B190</f>
        <v>0.17268722466960351</v>
      </c>
      <c r="U48" s="3554"/>
      <c r="V48" s="3554">
        <f>F48/'Student Enrollment BRS VIII '!D190</f>
        <v>0.19653711549088229</v>
      </c>
      <c r="W48" s="3554"/>
      <c r="X48" s="3554">
        <f>H48/'Student Enrollment BRS VIII '!F190</f>
        <v>0.19502451425458509</v>
      </c>
      <c r="Y48" s="3554"/>
      <c r="Z48" s="3554">
        <f>J48/'Student Enrollment BRS VIII '!H190</f>
        <v>0.20028364323983611</v>
      </c>
      <c r="AA48" s="3554"/>
      <c r="AB48" s="3555">
        <f>L48/'Student Enrollment BRS VIII '!J190</f>
        <v>0.20957384705195564</v>
      </c>
    </row>
    <row r="49" spans="1:28" s="1406" customFormat="1" ht="13.8" thickBot="1">
      <c r="A49" s="1408"/>
      <c r="B49" s="3169"/>
      <c r="C49" s="3169"/>
      <c r="D49" s="3169"/>
      <c r="E49" s="3169"/>
      <c r="F49" s="2228"/>
      <c r="G49" s="3169"/>
      <c r="H49" s="3169"/>
      <c r="I49" s="3169"/>
      <c r="J49" s="3169"/>
      <c r="K49" s="3169"/>
      <c r="L49" s="3169"/>
      <c r="N49" s="1171"/>
      <c r="O49" s="1171"/>
      <c r="P49" s="1171"/>
      <c r="Q49" s="1171"/>
      <c r="R49" s="1171"/>
    </row>
    <row r="50" spans="1:28" s="1407" customFormat="1" ht="25.5" customHeight="1" thickBot="1">
      <c r="A50" s="442" t="s">
        <v>177</v>
      </c>
      <c r="B50" s="3172" t="s">
        <v>2</v>
      </c>
      <c r="C50" s="3173"/>
      <c r="D50" s="3174" t="s">
        <v>3</v>
      </c>
      <c r="E50" s="3173"/>
      <c r="F50" s="3175" t="s">
        <v>4</v>
      </c>
      <c r="G50" s="3173"/>
      <c r="H50" s="3176" t="s">
        <v>5</v>
      </c>
      <c r="I50" s="3173"/>
      <c r="J50" s="3176" t="s">
        <v>6</v>
      </c>
      <c r="K50" s="3173"/>
      <c r="L50" s="3176" t="s">
        <v>7</v>
      </c>
      <c r="M50" s="1413"/>
      <c r="N50" s="1174" t="s">
        <v>33</v>
      </c>
      <c r="O50" s="1167"/>
      <c r="P50" s="1174" t="s">
        <v>34</v>
      </c>
      <c r="Q50" s="1167"/>
      <c r="R50" s="1175" t="s">
        <v>35</v>
      </c>
    </row>
    <row r="51" spans="1:28" s="1406" customFormat="1">
      <c r="A51" s="1412" t="s">
        <v>43</v>
      </c>
      <c r="B51" s="1346"/>
      <c r="C51" s="1168"/>
      <c r="D51" s="43"/>
      <c r="E51" s="1168"/>
      <c r="F51" s="43"/>
      <c r="G51" s="1168"/>
      <c r="H51" s="43"/>
      <c r="I51" s="1168"/>
      <c r="J51" s="43"/>
      <c r="K51" s="1168"/>
      <c r="L51" s="43"/>
      <c r="M51" s="25"/>
      <c r="N51" s="1165"/>
      <c r="O51" s="1170"/>
      <c r="P51" s="1165"/>
      <c r="Q51" s="1170"/>
      <c r="R51" s="1173"/>
    </row>
    <row r="52" spans="1:28" s="1406" customFormat="1">
      <c r="A52" s="1410" t="s">
        <v>44</v>
      </c>
      <c r="B52" s="1164"/>
      <c r="C52" s="223"/>
      <c r="D52" s="128"/>
      <c r="E52" s="223"/>
      <c r="F52" s="128"/>
      <c r="G52" s="223"/>
      <c r="H52" s="128"/>
      <c r="I52" s="223"/>
      <c r="J52" s="128"/>
      <c r="K52" s="223"/>
      <c r="L52" s="128"/>
      <c r="M52" s="1415"/>
      <c r="N52" s="962"/>
      <c r="O52" s="963"/>
      <c r="P52" s="962"/>
      <c r="Q52" s="963"/>
      <c r="R52" s="964"/>
    </row>
    <row r="53" spans="1:28" s="1406" customFormat="1">
      <c r="A53" s="1410" t="s">
        <v>45</v>
      </c>
      <c r="B53" s="177"/>
      <c r="C53" s="225"/>
      <c r="D53" s="217"/>
      <c r="E53" s="225"/>
      <c r="F53" s="217"/>
      <c r="G53" s="225"/>
      <c r="H53" s="217"/>
      <c r="I53" s="225"/>
      <c r="J53" s="217"/>
      <c r="K53" s="225"/>
      <c r="L53" s="217"/>
      <c r="M53" s="1416"/>
      <c r="N53" s="962"/>
      <c r="O53" s="963"/>
      <c r="P53" s="962"/>
      <c r="Q53" s="963"/>
      <c r="R53" s="964"/>
    </row>
    <row r="54" spans="1:28" s="1406" customFormat="1">
      <c r="A54" s="1410" t="s">
        <v>46</v>
      </c>
      <c r="B54" s="177"/>
      <c r="C54" s="225"/>
      <c r="D54" s="217"/>
      <c r="E54" s="225"/>
      <c r="F54" s="217"/>
      <c r="G54" s="225"/>
      <c r="H54" s="217"/>
      <c r="I54" s="225"/>
      <c r="J54" s="217"/>
      <c r="K54" s="225"/>
      <c r="L54" s="217"/>
      <c r="M54" s="1416"/>
      <c r="N54" s="962"/>
      <c r="O54" s="963"/>
      <c r="P54" s="962"/>
      <c r="Q54" s="963"/>
      <c r="R54" s="964"/>
    </row>
    <row r="55" spans="1:28" s="1406" customFormat="1">
      <c r="A55" s="1410"/>
      <c r="B55" s="1341"/>
      <c r="C55" s="1347"/>
      <c r="D55" s="1342"/>
      <c r="E55" s="1347"/>
      <c r="F55" s="1342"/>
      <c r="G55" s="1347"/>
      <c r="H55" s="1342"/>
      <c r="I55" s="1347"/>
      <c r="J55" s="1342"/>
      <c r="K55" s="1347"/>
      <c r="L55" s="1342"/>
      <c r="M55" s="34"/>
      <c r="N55" s="1165"/>
      <c r="O55" s="1178"/>
      <c r="P55" s="1165"/>
      <c r="Q55" s="1178"/>
      <c r="R55" s="1173"/>
    </row>
    <row r="56" spans="1:28" s="1406" customFormat="1" ht="13.8" thickBot="1">
      <c r="A56" s="109" t="s">
        <v>87</v>
      </c>
      <c r="B56" s="1341"/>
      <c r="C56" s="1347"/>
      <c r="D56" s="1342"/>
      <c r="E56" s="1347"/>
      <c r="F56" s="1342"/>
      <c r="G56" s="1347"/>
      <c r="H56" s="1342"/>
      <c r="I56" s="1347"/>
      <c r="J56" s="1342"/>
      <c r="K56" s="1347"/>
      <c r="L56" s="1342"/>
      <c r="M56" s="34"/>
      <c r="N56" s="1165"/>
      <c r="O56" s="1178"/>
      <c r="P56" s="1165"/>
      <c r="Q56" s="1178"/>
      <c r="R56" s="1173"/>
    </row>
    <row r="57" spans="1:28" s="1406" customFormat="1">
      <c r="A57" s="1410" t="s">
        <v>45</v>
      </c>
      <c r="B57" s="177">
        <v>480</v>
      </c>
      <c r="C57" s="225"/>
      <c r="D57" s="217">
        <v>568</v>
      </c>
      <c r="E57" s="225"/>
      <c r="F57" s="217">
        <v>718</v>
      </c>
      <c r="G57" s="225"/>
      <c r="H57" s="217">
        <v>742</v>
      </c>
      <c r="I57" s="225"/>
      <c r="J57" s="217">
        <v>801</v>
      </c>
      <c r="K57" s="225"/>
      <c r="L57" s="217">
        <v>876</v>
      </c>
      <c r="M57" s="1416"/>
      <c r="N57" s="962">
        <f t="shared" ref="N57:N59" si="35">AVERAGE(B57:F57)</f>
        <v>588.66666666666663</v>
      </c>
      <c r="O57" s="963"/>
      <c r="P57" s="962">
        <f t="shared" ref="P57:P59" si="36">AVERAGE(H57:L57)</f>
        <v>806.33333333333337</v>
      </c>
      <c r="Q57" s="963"/>
      <c r="R57" s="964">
        <f t="shared" ref="R57:R59" si="37">P57-N57</f>
        <v>217.66666666666674</v>
      </c>
      <c r="T57" s="4483" t="s">
        <v>366</v>
      </c>
      <c r="U57" s="4484"/>
      <c r="V57" s="4484"/>
      <c r="W57" s="4484"/>
      <c r="X57" s="4484"/>
      <c r="Y57" s="4484"/>
      <c r="Z57" s="4484"/>
      <c r="AA57" s="4484"/>
      <c r="AB57" s="4485"/>
    </row>
    <row r="58" spans="1:28" s="1406" customFormat="1" ht="13.8" thickBot="1">
      <c r="A58" s="1411" t="s">
        <v>47</v>
      </c>
      <c r="B58" s="1345">
        <v>520</v>
      </c>
      <c r="C58" s="1343"/>
      <c r="D58" s="1340">
        <v>587</v>
      </c>
      <c r="E58" s="1343"/>
      <c r="F58" s="1340">
        <v>604</v>
      </c>
      <c r="G58" s="1343"/>
      <c r="H58" s="1340">
        <v>683</v>
      </c>
      <c r="I58" s="1343"/>
      <c r="J58" s="1340">
        <v>789</v>
      </c>
      <c r="K58" s="1343"/>
      <c r="L58" s="1340">
        <v>800</v>
      </c>
      <c r="M58" s="1417"/>
      <c r="N58" s="966">
        <f t="shared" si="35"/>
        <v>570.33333333333337</v>
      </c>
      <c r="O58" s="967"/>
      <c r="P58" s="966">
        <f t="shared" si="36"/>
        <v>757.33333333333337</v>
      </c>
      <c r="Q58" s="967"/>
      <c r="R58" s="968">
        <f t="shared" si="37"/>
        <v>187</v>
      </c>
      <c r="T58" s="3052">
        <v>2007</v>
      </c>
      <c r="U58" s="3032"/>
      <c r="V58" s="3032">
        <v>2008</v>
      </c>
      <c r="W58" s="3032"/>
      <c r="X58" s="3032">
        <v>2009</v>
      </c>
      <c r="Y58" s="3032"/>
      <c r="Z58" s="3032">
        <v>2010</v>
      </c>
      <c r="AA58" s="3032"/>
      <c r="AB58" s="3545">
        <v>2011</v>
      </c>
    </row>
    <row r="59" spans="1:28" s="1406" customFormat="1" ht="14.4" thickTop="1" thickBot="1">
      <c r="A59" s="1409" t="s">
        <v>49</v>
      </c>
      <c r="B59" s="129">
        <f>SUM(B52:B58)</f>
        <v>1000</v>
      </c>
      <c r="C59" s="224"/>
      <c r="D59" s="130">
        <f>SUM(D52:D58)</f>
        <v>1155</v>
      </c>
      <c r="E59" s="224"/>
      <c r="F59" s="130">
        <f>SUM(F52:F58)</f>
        <v>1322</v>
      </c>
      <c r="G59" s="224"/>
      <c r="H59" s="130">
        <f>SUM(H52:H58)</f>
        <v>1425</v>
      </c>
      <c r="I59" s="224"/>
      <c r="J59" s="130">
        <f>SUM(J52:J58)</f>
        <v>1590</v>
      </c>
      <c r="K59" s="224"/>
      <c r="L59" s="130">
        <f>SUM(L52:L58)</f>
        <v>1676</v>
      </c>
      <c r="M59" s="1414"/>
      <c r="N59" s="969">
        <f t="shared" si="35"/>
        <v>1159</v>
      </c>
      <c r="O59" s="970"/>
      <c r="P59" s="969">
        <f t="shared" si="36"/>
        <v>1563.6666666666667</v>
      </c>
      <c r="Q59" s="970"/>
      <c r="R59" s="971">
        <f t="shared" si="37"/>
        <v>404.66666666666674</v>
      </c>
      <c r="T59" s="3553">
        <f>D59/'Student Enrollment BRS VIII '!B226</f>
        <v>0.14657360406091371</v>
      </c>
      <c r="U59" s="3554"/>
      <c r="V59" s="3554">
        <f>F59/'Student Enrollment BRS VIII '!D226</f>
        <v>0.16749018117319145</v>
      </c>
      <c r="W59" s="3554"/>
      <c r="X59" s="3554">
        <f>H59/'Student Enrollment BRS VIII '!F226</f>
        <v>0.16863905325443787</v>
      </c>
      <c r="Y59" s="3554"/>
      <c r="Z59" s="3554">
        <f>J59/'Student Enrollment BRS VIII '!H226</f>
        <v>0.17128083593665841</v>
      </c>
      <c r="AA59" s="3554"/>
      <c r="AB59" s="3555">
        <f>L59/'Student Enrollment BRS VIII '!J226</f>
        <v>0.17844974446337308</v>
      </c>
    </row>
    <row r="60" spans="1:28" s="1418" customFormat="1" ht="13.8" thickBot="1">
      <c r="A60" s="1420"/>
      <c r="B60" s="3169"/>
      <c r="C60" s="3169"/>
      <c r="D60" s="3169"/>
      <c r="E60" s="3169"/>
      <c r="F60" s="2228"/>
      <c r="G60" s="3169"/>
      <c r="H60" s="3169"/>
      <c r="I60" s="3169"/>
      <c r="J60" s="3169"/>
      <c r="K60" s="3169"/>
      <c r="L60" s="3169"/>
      <c r="N60" s="1171"/>
      <c r="O60" s="1171"/>
      <c r="P60" s="1171"/>
      <c r="Q60" s="1171"/>
      <c r="R60" s="1171"/>
    </row>
    <row r="61" spans="1:28" s="1419" customFormat="1" ht="25.5" customHeight="1" thickBot="1">
      <c r="A61" s="442" t="s">
        <v>178</v>
      </c>
      <c r="B61" s="3172" t="s">
        <v>2</v>
      </c>
      <c r="C61" s="3173"/>
      <c r="D61" s="3174" t="s">
        <v>3</v>
      </c>
      <c r="E61" s="3173"/>
      <c r="F61" s="3175" t="s">
        <v>4</v>
      </c>
      <c r="G61" s="3173"/>
      <c r="H61" s="3176" t="s">
        <v>5</v>
      </c>
      <c r="I61" s="3173"/>
      <c r="J61" s="3176" t="s">
        <v>6</v>
      </c>
      <c r="K61" s="3173"/>
      <c r="L61" s="3176" t="s">
        <v>7</v>
      </c>
      <c r="M61" s="1425"/>
      <c r="N61" s="1174" t="s">
        <v>33</v>
      </c>
      <c r="O61" s="1167"/>
      <c r="P61" s="1174" t="s">
        <v>34</v>
      </c>
      <c r="Q61" s="1167"/>
      <c r="R61" s="1175" t="s">
        <v>35</v>
      </c>
    </row>
    <row r="62" spans="1:28" s="1418" customFormat="1">
      <c r="A62" s="1424" t="s">
        <v>43</v>
      </c>
      <c r="B62" s="1346"/>
      <c r="C62" s="1168"/>
      <c r="D62" s="43"/>
      <c r="E62" s="1168"/>
      <c r="F62" s="43"/>
      <c r="G62" s="1168"/>
      <c r="H62" s="43"/>
      <c r="I62" s="1168"/>
      <c r="J62" s="43"/>
      <c r="K62" s="1168"/>
      <c r="L62" s="43"/>
      <c r="M62" s="25"/>
      <c r="N62" s="1165"/>
      <c r="O62" s="1170"/>
      <c r="P62" s="1165"/>
      <c r="Q62" s="1170"/>
      <c r="R62" s="1173"/>
    </row>
    <row r="63" spans="1:28" s="1418" customFormat="1">
      <c r="A63" s="1422" t="s">
        <v>44</v>
      </c>
      <c r="B63" s="1164"/>
      <c r="C63" s="223"/>
      <c r="D63" s="128"/>
      <c r="E63" s="223"/>
      <c r="F63" s="128"/>
      <c r="G63" s="223"/>
      <c r="H63" s="128"/>
      <c r="I63" s="223"/>
      <c r="J63" s="128"/>
      <c r="K63" s="223"/>
      <c r="L63" s="128"/>
      <c r="M63" s="1427"/>
      <c r="N63" s="962"/>
      <c r="O63" s="963"/>
      <c r="P63" s="962"/>
      <c r="Q63" s="963"/>
      <c r="R63" s="964"/>
    </row>
    <row r="64" spans="1:28" s="1418" customFormat="1">
      <c r="A64" s="1422" t="s">
        <v>45</v>
      </c>
      <c r="B64" s="177"/>
      <c r="C64" s="225"/>
      <c r="D64" s="217"/>
      <c r="E64" s="225"/>
      <c r="F64" s="217"/>
      <c r="G64" s="225"/>
      <c r="H64" s="217"/>
      <c r="I64" s="225"/>
      <c r="J64" s="217"/>
      <c r="K64" s="225"/>
      <c r="L64" s="217"/>
      <c r="M64" s="1428"/>
      <c r="N64" s="962"/>
      <c r="O64" s="963"/>
      <c r="P64" s="962"/>
      <c r="Q64" s="963"/>
      <c r="R64" s="964"/>
    </row>
    <row r="65" spans="1:28" s="1418" customFormat="1">
      <c r="A65" s="1422" t="s">
        <v>46</v>
      </c>
      <c r="B65" s="177"/>
      <c r="C65" s="225"/>
      <c r="D65" s="217"/>
      <c r="E65" s="225"/>
      <c r="F65" s="217"/>
      <c r="G65" s="225"/>
      <c r="H65" s="217"/>
      <c r="I65" s="225"/>
      <c r="J65" s="217"/>
      <c r="K65" s="225"/>
      <c r="L65" s="217"/>
      <c r="M65" s="1428"/>
      <c r="N65" s="962"/>
      <c r="O65" s="963"/>
      <c r="P65" s="962"/>
      <c r="Q65" s="963"/>
      <c r="R65" s="964"/>
    </row>
    <row r="66" spans="1:28" s="1418" customFormat="1">
      <c r="A66" s="1422"/>
      <c r="B66" s="1341"/>
      <c r="C66" s="1347"/>
      <c r="D66" s="1342"/>
      <c r="E66" s="1347"/>
      <c r="F66" s="1342"/>
      <c r="G66" s="1347"/>
      <c r="H66" s="1342"/>
      <c r="I66" s="1347"/>
      <c r="J66" s="1342"/>
      <c r="K66" s="1347"/>
      <c r="L66" s="1342"/>
      <c r="M66" s="34"/>
      <c r="N66" s="1165"/>
      <c r="O66" s="1178"/>
      <c r="P66" s="1165"/>
      <c r="Q66" s="1178"/>
      <c r="R66" s="1173"/>
    </row>
    <row r="67" spans="1:28" s="1418" customFormat="1" ht="13.8" thickBot="1">
      <c r="A67" s="109" t="s">
        <v>87</v>
      </c>
      <c r="B67" s="1341"/>
      <c r="C67" s="1347"/>
      <c r="D67" s="1342"/>
      <c r="E67" s="1347"/>
      <c r="F67" s="1342"/>
      <c r="G67" s="1347"/>
      <c r="H67" s="1342"/>
      <c r="I67" s="1347"/>
      <c r="J67" s="1342"/>
      <c r="K67" s="1347"/>
      <c r="L67" s="1342"/>
      <c r="M67" s="34"/>
      <c r="N67" s="1165"/>
      <c r="O67" s="1178"/>
      <c r="P67" s="1165"/>
      <c r="Q67" s="1178"/>
      <c r="R67" s="1173"/>
    </row>
    <row r="68" spans="1:28" s="1418" customFormat="1">
      <c r="A68" s="1422" t="s">
        <v>45</v>
      </c>
      <c r="B68" s="177">
        <v>384</v>
      </c>
      <c r="C68" s="225"/>
      <c r="D68" s="217">
        <v>379</v>
      </c>
      <c r="E68" s="225"/>
      <c r="F68" s="217">
        <v>459</v>
      </c>
      <c r="G68" s="225"/>
      <c r="H68" s="217">
        <v>465</v>
      </c>
      <c r="I68" s="225"/>
      <c r="J68" s="217">
        <v>532</v>
      </c>
      <c r="K68" s="225"/>
      <c r="L68" s="217">
        <v>507</v>
      </c>
      <c r="M68" s="1428"/>
      <c r="N68" s="962">
        <f t="shared" ref="N68:N70" si="38">AVERAGE(B68:F68)</f>
        <v>407.33333333333331</v>
      </c>
      <c r="O68" s="963"/>
      <c r="P68" s="962">
        <f t="shared" ref="P68:P70" si="39">AVERAGE(H68:L68)</f>
        <v>501.33333333333331</v>
      </c>
      <c r="Q68" s="963"/>
      <c r="R68" s="964">
        <f t="shared" ref="R68:R70" si="40">P68-N68</f>
        <v>94</v>
      </c>
      <c r="T68" s="4483" t="s">
        <v>366</v>
      </c>
      <c r="U68" s="4484"/>
      <c r="V68" s="4484"/>
      <c r="W68" s="4484"/>
      <c r="X68" s="4484"/>
      <c r="Y68" s="4484"/>
      <c r="Z68" s="4484"/>
      <c r="AA68" s="4484"/>
      <c r="AB68" s="4485"/>
    </row>
    <row r="69" spans="1:28" s="1418" customFormat="1" ht="13.8" thickBot="1">
      <c r="A69" s="1423" t="s">
        <v>47</v>
      </c>
      <c r="B69" s="1345">
        <v>516</v>
      </c>
      <c r="C69" s="1343"/>
      <c r="D69" s="1340">
        <v>518</v>
      </c>
      <c r="E69" s="1343"/>
      <c r="F69" s="1340">
        <v>506</v>
      </c>
      <c r="G69" s="1343"/>
      <c r="H69" s="1340">
        <v>573</v>
      </c>
      <c r="I69" s="1343"/>
      <c r="J69" s="1340">
        <v>627</v>
      </c>
      <c r="K69" s="1343"/>
      <c r="L69" s="1340">
        <v>668</v>
      </c>
      <c r="M69" s="1429"/>
      <c r="N69" s="966">
        <f t="shared" si="38"/>
        <v>513.33333333333337</v>
      </c>
      <c r="O69" s="967"/>
      <c r="P69" s="966">
        <f t="shared" si="39"/>
        <v>622.66666666666663</v>
      </c>
      <c r="Q69" s="967"/>
      <c r="R69" s="968">
        <f t="shared" si="40"/>
        <v>109.33333333333326</v>
      </c>
      <c r="T69" s="3052">
        <v>2007</v>
      </c>
      <c r="U69" s="3032"/>
      <c r="V69" s="3032">
        <v>2008</v>
      </c>
      <c r="W69" s="3032"/>
      <c r="X69" s="3032">
        <v>2009</v>
      </c>
      <c r="Y69" s="3032"/>
      <c r="Z69" s="3032">
        <v>2010</v>
      </c>
      <c r="AA69" s="3032"/>
      <c r="AB69" s="3545">
        <v>2011</v>
      </c>
    </row>
    <row r="70" spans="1:28" s="1418" customFormat="1" ht="14.4" thickTop="1" thickBot="1">
      <c r="A70" s="1421" t="s">
        <v>49</v>
      </c>
      <c r="B70" s="129">
        <f>SUM(B63:B69)</f>
        <v>900</v>
      </c>
      <c r="C70" s="224"/>
      <c r="D70" s="130">
        <f>SUM(D63:D69)</f>
        <v>897</v>
      </c>
      <c r="E70" s="224"/>
      <c r="F70" s="130">
        <f>SUM(F63:F69)</f>
        <v>965</v>
      </c>
      <c r="G70" s="224"/>
      <c r="H70" s="130">
        <f>SUM(H63:H69)</f>
        <v>1038</v>
      </c>
      <c r="I70" s="224"/>
      <c r="J70" s="130">
        <f>SUM(J63:J69)</f>
        <v>1159</v>
      </c>
      <c r="K70" s="224"/>
      <c r="L70" s="130">
        <f>SUM(L63:L69)</f>
        <v>1175</v>
      </c>
      <c r="M70" s="1426"/>
      <c r="N70" s="969">
        <f t="shared" si="38"/>
        <v>920.66666666666663</v>
      </c>
      <c r="O70" s="970"/>
      <c r="P70" s="969">
        <f t="shared" si="39"/>
        <v>1124</v>
      </c>
      <c r="Q70" s="970"/>
      <c r="R70" s="971">
        <f t="shared" si="40"/>
        <v>203.33333333333337</v>
      </c>
      <c r="T70" s="3553">
        <f>D70/'Student Enrollment BRS VIII '!B262</f>
        <v>0.16876763875823142</v>
      </c>
      <c r="U70" s="3554"/>
      <c r="V70" s="3554">
        <f>F70/'Student Enrollment BRS VIII '!D262</f>
        <v>0.18737864077669902</v>
      </c>
      <c r="W70" s="3554"/>
      <c r="X70" s="3554">
        <f>H70/'Student Enrollment BRS VIII '!F262</f>
        <v>0.19471018570624649</v>
      </c>
      <c r="Y70" s="3554"/>
      <c r="Z70" s="3554">
        <f>J70/'Student Enrollment BRS VIII '!H262</f>
        <v>0.21196049743964887</v>
      </c>
      <c r="AA70" s="3554"/>
      <c r="AB70" s="3555">
        <f>L70/'Student Enrollment BRS VIII '!J262</f>
        <v>0.20406391108023619</v>
      </c>
    </row>
    <row r="71" spans="1:28" s="2083" customFormat="1" ht="13.8" thickBot="1">
      <c r="A71" s="2087"/>
      <c r="B71" s="3169"/>
      <c r="C71" s="3169"/>
      <c r="D71" s="3169"/>
      <c r="E71" s="3169"/>
      <c r="F71" s="2228"/>
      <c r="G71" s="3169"/>
      <c r="H71" s="3169"/>
      <c r="I71" s="3169"/>
      <c r="J71" s="3169"/>
      <c r="K71" s="3169"/>
      <c r="L71" s="3169"/>
      <c r="N71" s="1171"/>
      <c r="O71" s="1171"/>
      <c r="P71" s="1171"/>
      <c r="Q71" s="1171"/>
      <c r="R71" s="1171"/>
    </row>
    <row r="72" spans="1:28" s="2084" customFormat="1" ht="25.5" customHeight="1" thickBot="1">
      <c r="A72" s="442" t="s">
        <v>204</v>
      </c>
      <c r="B72" s="3172" t="s">
        <v>2</v>
      </c>
      <c r="C72" s="3173"/>
      <c r="D72" s="3174" t="s">
        <v>3</v>
      </c>
      <c r="E72" s="3173"/>
      <c r="F72" s="3175" t="s">
        <v>4</v>
      </c>
      <c r="G72" s="3173"/>
      <c r="H72" s="3176" t="s">
        <v>5</v>
      </c>
      <c r="I72" s="3173"/>
      <c r="J72" s="3176" t="s">
        <v>6</v>
      </c>
      <c r="K72" s="3173"/>
      <c r="L72" s="3176" t="s">
        <v>7</v>
      </c>
      <c r="M72" s="2088"/>
      <c r="N72" s="1174" t="s">
        <v>33</v>
      </c>
      <c r="O72" s="1167"/>
      <c r="P72" s="1174" t="s">
        <v>34</v>
      </c>
      <c r="Q72" s="1167"/>
      <c r="R72" s="1175" t="s">
        <v>35</v>
      </c>
    </row>
    <row r="73" spans="1:28" s="2083" customFormat="1">
      <c r="A73" s="2095" t="s">
        <v>43</v>
      </c>
      <c r="B73" s="1346"/>
      <c r="C73" s="1168"/>
      <c r="D73" s="43"/>
      <c r="E73" s="1168"/>
      <c r="F73" s="43"/>
      <c r="G73" s="1168"/>
      <c r="H73" s="43"/>
      <c r="I73" s="1168"/>
      <c r="J73" s="43"/>
      <c r="K73" s="1168"/>
      <c r="L73" s="43"/>
      <c r="M73" s="25"/>
      <c r="N73" s="1165"/>
      <c r="O73" s="1170"/>
      <c r="P73" s="1165"/>
      <c r="Q73" s="1170"/>
      <c r="R73" s="1173"/>
    </row>
    <row r="74" spans="1:28" s="2083" customFormat="1">
      <c r="A74" s="2085" t="s">
        <v>44</v>
      </c>
      <c r="B74" s="1164"/>
      <c r="C74" s="223"/>
      <c r="D74" s="128"/>
      <c r="E74" s="223"/>
      <c r="F74" s="128"/>
      <c r="G74" s="223"/>
      <c r="H74" s="128"/>
      <c r="I74" s="223"/>
      <c r="J74" s="128"/>
      <c r="K74" s="223"/>
      <c r="L74" s="128"/>
      <c r="M74" s="1861"/>
      <c r="N74" s="962"/>
      <c r="O74" s="963"/>
      <c r="P74" s="962"/>
      <c r="Q74" s="963"/>
      <c r="R74" s="964"/>
    </row>
    <row r="75" spans="1:28" s="2083" customFormat="1">
      <c r="A75" s="2085" t="s">
        <v>45</v>
      </c>
      <c r="B75" s="177"/>
      <c r="C75" s="225"/>
      <c r="D75" s="217"/>
      <c r="E75" s="225"/>
      <c r="F75" s="217"/>
      <c r="G75" s="225"/>
      <c r="H75" s="217"/>
      <c r="I75" s="225"/>
      <c r="J75" s="217"/>
      <c r="K75" s="225"/>
      <c r="L75" s="217"/>
      <c r="M75" s="1864"/>
      <c r="N75" s="962"/>
      <c r="O75" s="963"/>
      <c r="P75" s="962"/>
      <c r="Q75" s="963"/>
      <c r="R75" s="964"/>
    </row>
    <row r="76" spans="1:28" s="2083" customFormat="1">
      <c r="A76" s="2085" t="s">
        <v>46</v>
      </c>
      <c r="B76" s="177"/>
      <c r="C76" s="225"/>
      <c r="D76" s="217"/>
      <c r="E76" s="225"/>
      <c r="F76" s="217"/>
      <c r="G76" s="225"/>
      <c r="H76" s="217"/>
      <c r="I76" s="225"/>
      <c r="J76" s="217"/>
      <c r="K76" s="225"/>
      <c r="L76" s="217"/>
      <c r="M76" s="1864"/>
      <c r="N76" s="962"/>
      <c r="O76" s="963"/>
      <c r="P76" s="962"/>
      <c r="Q76" s="963"/>
      <c r="R76" s="964"/>
    </row>
    <row r="77" spans="1:28" s="2083" customFormat="1">
      <c r="A77" s="2085"/>
      <c r="B77" s="1341"/>
      <c r="C77" s="1347"/>
      <c r="D77" s="1342"/>
      <c r="E77" s="1347"/>
      <c r="F77" s="1342"/>
      <c r="G77" s="1347"/>
      <c r="H77" s="1342"/>
      <c r="I77" s="1347"/>
      <c r="J77" s="1342"/>
      <c r="K77" s="1347"/>
      <c r="L77" s="1342"/>
      <c r="M77" s="34"/>
      <c r="N77" s="1165"/>
      <c r="O77" s="1178"/>
      <c r="P77" s="1165"/>
      <c r="Q77" s="1178"/>
      <c r="R77" s="1173"/>
    </row>
    <row r="78" spans="1:28" s="2083" customFormat="1" ht="13.8" thickBot="1">
      <c r="A78" s="109" t="s">
        <v>87</v>
      </c>
      <c r="B78" s="1341"/>
      <c r="C78" s="1347"/>
      <c r="D78" s="1342"/>
      <c r="E78" s="1347"/>
      <c r="F78" s="1342"/>
      <c r="G78" s="1347"/>
      <c r="H78" s="1342"/>
      <c r="I78" s="1347"/>
      <c r="J78" s="1342"/>
      <c r="K78" s="1347"/>
      <c r="L78" s="1342"/>
      <c r="M78" s="34"/>
      <c r="N78" s="1165"/>
      <c r="O78" s="1178"/>
      <c r="P78" s="1165"/>
      <c r="Q78" s="1178"/>
      <c r="R78" s="1173"/>
    </row>
    <row r="79" spans="1:28" s="2083" customFormat="1">
      <c r="A79" s="2085" t="s">
        <v>45</v>
      </c>
      <c r="B79" s="3229">
        <v>1294</v>
      </c>
      <c r="C79" s="3230"/>
      <c r="D79" s="3231">
        <v>1299</v>
      </c>
      <c r="E79" s="3230"/>
      <c r="F79" s="3231">
        <v>1273</v>
      </c>
      <c r="G79" s="3230"/>
      <c r="H79" s="3231">
        <v>1246</v>
      </c>
      <c r="I79" s="3230"/>
      <c r="J79" s="3231">
        <v>1394</v>
      </c>
      <c r="K79" s="3230"/>
      <c r="L79" s="3231">
        <v>1427</v>
      </c>
      <c r="M79" s="1864"/>
      <c r="N79" s="962">
        <f t="shared" ref="N79:N81" si="41">AVERAGE(B79:F79)</f>
        <v>1288.6666666666667</v>
      </c>
      <c r="O79" s="963"/>
      <c r="P79" s="962">
        <f t="shared" ref="P79:P81" si="42">AVERAGE(H79:L79)</f>
        <v>1355.6666666666667</v>
      </c>
      <c r="Q79" s="963"/>
      <c r="R79" s="964">
        <f t="shared" ref="R79:R81" si="43">P79-N79</f>
        <v>67</v>
      </c>
      <c r="T79" s="4483" t="s">
        <v>366</v>
      </c>
      <c r="U79" s="4484"/>
      <c r="V79" s="4484"/>
      <c r="W79" s="4484"/>
      <c r="X79" s="4484"/>
      <c r="Y79" s="4484"/>
      <c r="Z79" s="4484"/>
      <c r="AA79" s="4484"/>
      <c r="AB79" s="4485"/>
    </row>
    <row r="80" spans="1:28" s="2083" customFormat="1" ht="13.8" thickBot="1">
      <c r="A80" s="2086" t="s">
        <v>47</v>
      </c>
      <c r="B80" s="3232">
        <v>2181</v>
      </c>
      <c r="C80" s="3233"/>
      <c r="D80" s="3234">
        <v>2110</v>
      </c>
      <c r="E80" s="3233"/>
      <c r="F80" s="3234">
        <v>2088</v>
      </c>
      <c r="G80" s="3233"/>
      <c r="H80" s="3234">
        <v>2107</v>
      </c>
      <c r="I80" s="3233"/>
      <c r="J80" s="3234">
        <v>2257</v>
      </c>
      <c r="K80" s="3233"/>
      <c r="L80" s="3234">
        <v>2267</v>
      </c>
      <c r="M80" s="1866"/>
      <c r="N80" s="966">
        <f t="shared" si="41"/>
        <v>2126.3333333333335</v>
      </c>
      <c r="O80" s="967"/>
      <c r="P80" s="966">
        <f t="shared" si="42"/>
        <v>2210.3333333333335</v>
      </c>
      <c r="Q80" s="967"/>
      <c r="R80" s="968">
        <f t="shared" si="43"/>
        <v>84</v>
      </c>
      <c r="T80" s="3052">
        <v>2007</v>
      </c>
      <c r="U80" s="3032"/>
      <c r="V80" s="3032">
        <v>2008</v>
      </c>
      <c r="W80" s="3032"/>
      <c r="X80" s="3032">
        <v>2009</v>
      </c>
      <c r="Y80" s="3032"/>
      <c r="Z80" s="3032">
        <v>2010</v>
      </c>
      <c r="AA80" s="3032"/>
      <c r="AB80" s="3545">
        <v>2011</v>
      </c>
    </row>
    <row r="81" spans="1:28" s="2083" customFormat="1" ht="14.4" thickTop="1" thickBot="1">
      <c r="A81" s="2090" t="s">
        <v>49</v>
      </c>
      <c r="B81" s="129">
        <f>SUM(B74:B80)</f>
        <v>3475</v>
      </c>
      <c r="C81" s="224"/>
      <c r="D81" s="130">
        <f>SUM(D74:D80)</f>
        <v>3409</v>
      </c>
      <c r="E81" s="224"/>
      <c r="F81" s="130">
        <f>SUM(F74:F80)</f>
        <v>3361</v>
      </c>
      <c r="G81" s="224"/>
      <c r="H81" s="130">
        <f>SUM(H74:H80)</f>
        <v>3353</v>
      </c>
      <c r="I81" s="224"/>
      <c r="J81" s="130">
        <f>SUM(J74:J80)</f>
        <v>3651</v>
      </c>
      <c r="K81" s="224"/>
      <c r="L81" s="130">
        <f>SUM(L74:L80)</f>
        <v>3694</v>
      </c>
      <c r="M81" s="1859"/>
      <c r="N81" s="969">
        <f t="shared" si="41"/>
        <v>3415</v>
      </c>
      <c r="O81" s="970"/>
      <c r="P81" s="969">
        <f t="shared" si="42"/>
        <v>3566</v>
      </c>
      <c r="Q81" s="970"/>
      <c r="R81" s="971">
        <f t="shared" si="43"/>
        <v>151</v>
      </c>
      <c r="T81" s="3553">
        <f>D81/'Student Enrollment BRS VIII '!B442</f>
        <v>0.36231267934955891</v>
      </c>
      <c r="U81" s="3554"/>
      <c r="V81" s="3554">
        <f>F81/'Student Enrollment BRS VIII '!D442</f>
        <v>0.36155335628227192</v>
      </c>
      <c r="W81" s="3554"/>
      <c r="X81" s="3554">
        <f>H81/'Student Enrollment BRS VIII '!F442</f>
        <v>0.38215181217232735</v>
      </c>
      <c r="Y81" s="3554"/>
      <c r="Z81" s="3554">
        <f>J81/'Student Enrollment BRS VIII '!H442</f>
        <v>0.39182227945911141</v>
      </c>
      <c r="AA81" s="3554"/>
      <c r="AB81" s="3555">
        <f>L81/'Student Enrollment BRS VIII '!J442</f>
        <v>0.40871874308475326</v>
      </c>
    </row>
    <row r="82" spans="1:28" s="2096" customFormat="1" ht="13.8" thickBot="1">
      <c r="A82" s="2100"/>
      <c r="B82" s="3169"/>
      <c r="C82" s="3169"/>
      <c r="D82" s="3169"/>
      <c r="E82" s="3169"/>
      <c r="F82" s="2228"/>
      <c r="G82" s="3169"/>
      <c r="H82" s="3169"/>
      <c r="I82" s="3169"/>
      <c r="J82" s="3169"/>
      <c r="K82" s="3169"/>
      <c r="L82" s="3169"/>
      <c r="N82" s="1171"/>
      <c r="O82" s="1171"/>
      <c r="P82" s="1171"/>
      <c r="Q82" s="1171"/>
      <c r="R82" s="1171"/>
    </row>
    <row r="83" spans="1:28" s="2097" customFormat="1" ht="25.5" customHeight="1" thickBot="1">
      <c r="A83" s="442" t="s">
        <v>205</v>
      </c>
      <c r="B83" s="3172" t="s">
        <v>2</v>
      </c>
      <c r="C83" s="3173"/>
      <c r="D83" s="3174" t="s">
        <v>3</v>
      </c>
      <c r="E83" s="3173"/>
      <c r="F83" s="3175" t="s">
        <v>4</v>
      </c>
      <c r="G83" s="3173"/>
      <c r="H83" s="3176" t="s">
        <v>5</v>
      </c>
      <c r="I83" s="3173"/>
      <c r="J83" s="3176" t="s">
        <v>6</v>
      </c>
      <c r="K83" s="3173"/>
      <c r="L83" s="3176" t="s">
        <v>7</v>
      </c>
      <c r="M83" s="2101"/>
      <c r="N83" s="1174" t="s">
        <v>33</v>
      </c>
      <c r="O83" s="1167"/>
      <c r="P83" s="1174" t="s">
        <v>34</v>
      </c>
      <c r="Q83" s="1167"/>
      <c r="R83" s="1175" t="s">
        <v>35</v>
      </c>
    </row>
    <row r="84" spans="1:28" s="2096" customFormat="1">
      <c r="A84" s="2103" t="s">
        <v>43</v>
      </c>
      <c r="B84" s="1346"/>
      <c r="C84" s="1168"/>
      <c r="D84" s="43"/>
      <c r="E84" s="1168"/>
      <c r="F84" s="43"/>
      <c r="G84" s="1168"/>
      <c r="H84" s="43"/>
      <c r="I84" s="1168"/>
      <c r="J84" s="43"/>
      <c r="K84" s="1168"/>
      <c r="L84" s="43"/>
      <c r="M84" s="25"/>
      <c r="N84" s="1165"/>
      <c r="O84" s="1170"/>
      <c r="P84" s="1165"/>
      <c r="Q84" s="1170"/>
      <c r="R84" s="1173"/>
    </row>
    <row r="85" spans="1:28" s="2096" customFormat="1">
      <c r="A85" s="2098" t="s">
        <v>44</v>
      </c>
      <c r="B85" s="1164"/>
      <c r="C85" s="223"/>
      <c r="D85" s="128"/>
      <c r="E85" s="223"/>
      <c r="F85" s="128"/>
      <c r="G85" s="223"/>
      <c r="H85" s="128"/>
      <c r="I85" s="223"/>
      <c r="J85" s="128"/>
      <c r="K85" s="223"/>
      <c r="L85" s="128"/>
      <c r="M85" s="1861"/>
      <c r="N85" s="962"/>
      <c r="O85" s="963"/>
      <c r="P85" s="962"/>
      <c r="Q85" s="963"/>
      <c r="R85" s="964"/>
    </row>
    <row r="86" spans="1:28" s="2096" customFormat="1">
      <c r="A86" s="2098" t="s">
        <v>45</v>
      </c>
      <c r="B86" s="177"/>
      <c r="C86" s="225"/>
      <c r="D86" s="217"/>
      <c r="E86" s="225"/>
      <c r="F86" s="217"/>
      <c r="G86" s="225"/>
      <c r="H86" s="217"/>
      <c r="I86" s="225"/>
      <c r="J86" s="217"/>
      <c r="K86" s="225"/>
      <c r="L86" s="217"/>
      <c r="M86" s="1864"/>
      <c r="N86" s="962"/>
      <c r="O86" s="963"/>
      <c r="P86" s="962"/>
      <c r="Q86" s="963"/>
      <c r="R86" s="964"/>
    </row>
    <row r="87" spans="1:28" s="2096" customFormat="1">
      <c r="A87" s="2098" t="s">
        <v>46</v>
      </c>
      <c r="B87" s="177"/>
      <c r="C87" s="225"/>
      <c r="D87" s="217"/>
      <c r="E87" s="225"/>
      <c r="F87" s="217"/>
      <c r="G87" s="225"/>
      <c r="H87" s="217"/>
      <c r="I87" s="225"/>
      <c r="J87" s="217"/>
      <c r="K87" s="225"/>
      <c r="L87" s="217"/>
      <c r="M87" s="1864"/>
      <c r="N87" s="962"/>
      <c r="O87" s="963"/>
      <c r="P87" s="962"/>
      <c r="Q87" s="963"/>
      <c r="R87" s="964"/>
    </row>
    <row r="88" spans="1:28" s="2096" customFormat="1">
      <c r="A88" s="2098"/>
      <c r="B88" s="1341"/>
      <c r="C88" s="1347"/>
      <c r="D88" s="1342"/>
      <c r="E88" s="1347"/>
      <c r="F88" s="1342"/>
      <c r="G88" s="1347"/>
      <c r="H88" s="1342"/>
      <c r="I88" s="1347"/>
      <c r="J88" s="1342"/>
      <c r="K88" s="1347"/>
      <c r="L88" s="1342"/>
      <c r="M88" s="34"/>
      <c r="N88" s="1165"/>
      <c r="O88" s="1178"/>
      <c r="P88" s="1165"/>
      <c r="Q88" s="1178"/>
      <c r="R88" s="1173"/>
    </row>
    <row r="89" spans="1:28" s="2096" customFormat="1" ht="13.8" thickBot="1">
      <c r="A89" s="109" t="s">
        <v>87</v>
      </c>
      <c r="B89" s="1341"/>
      <c r="C89" s="1347"/>
      <c r="D89" s="1342"/>
      <c r="E89" s="1347"/>
      <c r="F89" s="1342"/>
      <c r="G89" s="1347"/>
      <c r="H89" s="1342"/>
      <c r="I89" s="1347"/>
      <c r="J89" s="1342"/>
      <c r="K89" s="1347"/>
      <c r="L89" s="1342"/>
      <c r="M89" s="34"/>
      <c r="N89" s="1165"/>
      <c r="O89" s="1178"/>
      <c r="P89" s="1165"/>
      <c r="Q89" s="1178"/>
      <c r="R89" s="1173"/>
    </row>
    <row r="90" spans="1:28" s="2096" customFormat="1">
      <c r="A90" s="2098" t="s">
        <v>45</v>
      </c>
      <c r="B90" s="3229">
        <v>1907</v>
      </c>
      <c r="C90" s="3230"/>
      <c r="D90" s="3231">
        <v>1890</v>
      </c>
      <c r="E90" s="3230"/>
      <c r="F90" s="3231">
        <v>1731</v>
      </c>
      <c r="G90" s="3230"/>
      <c r="H90" s="3231">
        <v>1804</v>
      </c>
      <c r="I90" s="3230"/>
      <c r="J90" s="3231">
        <v>1954</v>
      </c>
      <c r="K90" s="3230"/>
      <c r="L90" s="3235">
        <v>1877</v>
      </c>
      <c r="M90" s="1864"/>
      <c r="N90" s="962">
        <f t="shared" ref="N90:N92" si="44">AVERAGE(B90:F90)</f>
        <v>1842.6666666666667</v>
      </c>
      <c r="O90" s="963"/>
      <c r="P90" s="962">
        <f t="shared" ref="P90:P92" si="45">AVERAGE(H90:L90)</f>
        <v>1878.3333333333333</v>
      </c>
      <c r="Q90" s="963"/>
      <c r="R90" s="964">
        <f t="shared" ref="R90:R92" si="46">P90-N90</f>
        <v>35.666666666666515</v>
      </c>
      <c r="T90" s="4483" t="s">
        <v>366</v>
      </c>
      <c r="U90" s="4484"/>
      <c r="V90" s="4484"/>
      <c r="W90" s="4484"/>
      <c r="X90" s="4484"/>
      <c r="Y90" s="4484"/>
      <c r="Z90" s="4484"/>
      <c r="AA90" s="4484"/>
      <c r="AB90" s="4485"/>
    </row>
    <row r="91" spans="1:28" s="2096" customFormat="1" ht="13.8" thickBot="1">
      <c r="A91" s="2099" t="s">
        <v>47</v>
      </c>
      <c r="B91" s="3232">
        <v>1617</v>
      </c>
      <c r="C91" s="3233" t="s">
        <v>1</v>
      </c>
      <c r="D91" s="3234">
        <v>1587</v>
      </c>
      <c r="E91" s="3233"/>
      <c r="F91" s="3234">
        <v>1607</v>
      </c>
      <c r="G91" s="3233"/>
      <c r="H91" s="3234">
        <v>1555</v>
      </c>
      <c r="I91" s="3233"/>
      <c r="J91" s="3234">
        <v>1570</v>
      </c>
      <c r="K91" s="3233"/>
      <c r="L91" s="3236">
        <v>1607</v>
      </c>
      <c r="M91" s="1866"/>
      <c r="N91" s="966">
        <f t="shared" si="44"/>
        <v>1603.6666666666667</v>
      </c>
      <c r="O91" s="967"/>
      <c r="P91" s="966">
        <f t="shared" si="45"/>
        <v>1577.3333333333333</v>
      </c>
      <c r="Q91" s="967"/>
      <c r="R91" s="968">
        <f t="shared" si="46"/>
        <v>-26.333333333333485</v>
      </c>
      <c r="T91" s="3052">
        <v>2007</v>
      </c>
      <c r="U91" s="3032"/>
      <c r="V91" s="3032">
        <v>2008</v>
      </c>
      <c r="W91" s="3032"/>
      <c r="X91" s="3032">
        <v>2009</v>
      </c>
      <c r="Y91" s="3032"/>
      <c r="Z91" s="3032">
        <v>2010</v>
      </c>
      <c r="AA91" s="3032"/>
      <c r="AB91" s="3545">
        <v>2011</v>
      </c>
    </row>
    <row r="92" spans="1:28" s="2096" customFormat="1" ht="14.4" thickTop="1" thickBot="1">
      <c r="A92" s="2102" t="s">
        <v>49</v>
      </c>
      <c r="B92" s="129">
        <f>SUM(B85:B91)</f>
        <v>3524</v>
      </c>
      <c r="C92" s="224"/>
      <c r="D92" s="130">
        <f>SUM(D85:D91)</f>
        <v>3477</v>
      </c>
      <c r="E92" s="224"/>
      <c r="F92" s="130">
        <f>SUM(F85:F91)</f>
        <v>3338</v>
      </c>
      <c r="G92" s="224"/>
      <c r="H92" s="130">
        <f>SUM(H85:H91)</f>
        <v>3359</v>
      </c>
      <c r="I92" s="224"/>
      <c r="J92" s="130">
        <f>SUM(J85:J91)</f>
        <v>3524</v>
      </c>
      <c r="K92" s="224"/>
      <c r="L92" s="130">
        <f>SUM(L85:L91)</f>
        <v>3484</v>
      </c>
      <c r="M92" s="1859"/>
      <c r="N92" s="969">
        <f t="shared" si="44"/>
        <v>3446.3333333333335</v>
      </c>
      <c r="O92" s="970"/>
      <c r="P92" s="969">
        <f t="shared" si="45"/>
        <v>3455.6666666666665</v>
      </c>
      <c r="Q92" s="970"/>
      <c r="R92" s="971">
        <f t="shared" si="46"/>
        <v>9.3333333333330302</v>
      </c>
      <c r="T92" s="3553">
        <f>D92/'Student Enrollment BRS VIII '!B478</f>
        <v>0.27132266874756145</v>
      </c>
      <c r="U92" s="3554"/>
      <c r="V92" s="3554">
        <f>F92/'Student Enrollment BRS VIII '!D478</f>
        <v>0.2557266528767333</v>
      </c>
      <c r="W92" s="3554"/>
      <c r="X92" s="3554">
        <f>H92/'Student Enrollment BRS VIII '!F478</f>
        <v>0.24101313051589296</v>
      </c>
      <c r="Y92" s="3554"/>
      <c r="Z92" s="3554">
        <f>J92/'Student Enrollment BRS VIII '!H478</f>
        <v>0.23257655755015841</v>
      </c>
      <c r="AA92" s="3554"/>
      <c r="AB92" s="3555">
        <f>L92/'Student Enrollment BRS VIII '!J478</f>
        <v>0.23085078187119004</v>
      </c>
    </row>
    <row r="93" spans="1:28" s="2104" customFormat="1" ht="13.8" thickBot="1">
      <c r="A93" s="2108"/>
      <c r="B93" s="3169"/>
      <c r="C93" s="3169"/>
      <c r="D93" s="3169"/>
      <c r="E93" s="3169"/>
      <c r="F93" s="2228"/>
      <c r="G93" s="3169"/>
      <c r="H93" s="3169"/>
      <c r="I93" s="3169"/>
      <c r="J93" s="3169"/>
      <c r="K93" s="3169"/>
      <c r="L93" s="3169"/>
      <c r="N93" s="1171"/>
      <c r="O93" s="1171"/>
      <c r="P93" s="1171"/>
      <c r="Q93" s="1171"/>
      <c r="R93" s="1171"/>
    </row>
    <row r="94" spans="1:28" s="2105" customFormat="1" ht="25.5" customHeight="1" thickBot="1">
      <c r="A94" s="442" t="s">
        <v>206</v>
      </c>
      <c r="B94" s="3172" t="s">
        <v>2</v>
      </c>
      <c r="C94" s="3173"/>
      <c r="D94" s="3174" t="s">
        <v>3</v>
      </c>
      <c r="E94" s="3173"/>
      <c r="F94" s="3175" t="s">
        <v>4</v>
      </c>
      <c r="G94" s="3173"/>
      <c r="H94" s="3176" t="s">
        <v>5</v>
      </c>
      <c r="I94" s="3173"/>
      <c r="J94" s="3176" t="s">
        <v>6</v>
      </c>
      <c r="K94" s="3173"/>
      <c r="L94" s="3176" t="s">
        <v>7</v>
      </c>
      <c r="M94" s="2109"/>
      <c r="N94" s="1174" t="s">
        <v>33</v>
      </c>
      <c r="O94" s="1167"/>
      <c r="P94" s="1174" t="s">
        <v>34</v>
      </c>
      <c r="Q94" s="1167"/>
      <c r="R94" s="1175" t="s">
        <v>35</v>
      </c>
    </row>
    <row r="95" spans="1:28" s="2104" customFormat="1">
      <c r="A95" s="2111" t="s">
        <v>43</v>
      </c>
      <c r="B95" s="1346"/>
      <c r="C95" s="1168"/>
      <c r="D95" s="43"/>
      <c r="E95" s="1168"/>
      <c r="F95" s="43"/>
      <c r="G95" s="1168"/>
      <c r="H95" s="43"/>
      <c r="I95" s="1168"/>
      <c r="J95" s="43"/>
      <c r="K95" s="1168"/>
      <c r="L95" s="43"/>
      <c r="M95" s="25"/>
      <c r="N95" s="1165"/>
      <c r="O95" s="1170"/>
      <c r="P95" s="1165"/>
      <c r="Q95" s="1170"/>
      <c r="R95" s="1173"/>
    </row>
    <row r="96" spans="1:28" s="2104" customFormat="1">
      <c r="A96" s="2106" t="s">
        <v>44</v>
      </c>
      <c r="B96" s="1164"/>
      <c r="C96" s="223"/>
      <c r="D96" s="128"/>
      <c r="E96" s="223"/>
      <c r="F96" s="128"/>
      <c r="G96" s="223"/>
      <c r="H96" s="128"/>
      <c r="I96" s="223"/>
      <c r="J96" s="128"/>
      <c r="K96" s="223"/>
      <c r="L96" s="128"/>
      <c r="M96" s="1861"/>
      <c r="N96" s="962"/>
      <c r="O96" s="963"/>
      <c r="P96" s="962"/>
      <c r="Q96" s="963"/>
      <c r="R96" s="964"/>
    </row>
    <row r="97" spans="1:28" s="2104" customFormat="1">
      <c r="A97" s="2106" t="s">
        <v>45</v>
      </c>
      <c r="B97" s="177"/>
      <c r="C97" s="225"/>
      <c r="D97" s="217"/>
      <c r="E97" s="225"/>
      <c r="F97" s="217"/>
      <c r="G97" s="225"/>
      <c r="H97" s="217"/>
      <c r="I97" s="225"/>
      <c r="J97" s="217"/>
      <c r="K97" s="225"/>
      <c r="L97" s="217"/>
      <c r="M97" s="1864"/>
      <c r="N97" s="962"/>
      <c r="O97" s="963"/>
      <c r="P97" s="962"/>
      <c r="Q97" s="963"/>
      <c r="R97" s="964"/>
    </row>
    <row r="98" spans="1:28" s="2104" customFormat="1">
      <c r="A98" s="2106" t="s">
        <v>46</v>
      </c>
      <c r="B98" s="177"/>
      <c r="C98" s="225"/>
      <c r="D98" s="217"/>
      <c r="E98" s="225"/>
      <c r="F98" s="217"/>
      <c r="G98" s="225"/>
      <c r="H98" s="217"/>
      <c r="I98" s="225"/>
      <c r="J98" s="217"/>
      <c r="K98" s="225"/>
      <c r="L98" s="217"/>
      <c r="M98" s="1864"/>
      <c r="N98" s="962"/>
      <c r="O98" s="963"/>
      <c r="P98" s="962"/>
      <c r="Q98" s="963"/>
      <c r="R98" s="964"/>
    </row>
    <row r="99" spans="1:28" s="2104" customFormat="1">
      <c r="A99" s="2106"/>
      <c r="B99" s="1341"/>
      <c r="C99" s="1347"/>
      <c r="D99" s="1342"/>
      <c r="E99" s="1347"/>
      <c r="F99" s="1342"/>
      <c r="G99" s="1347"/>
      <c r="H99" s="1342"/>
      <c r="I99" s="1347"/>
      <c r="J99" s="1342"/>
      <c r="K99" s="1347"/>
      <c r="L99" s="1342"/>
      <c r="M99" s="34"/>
      <c r="N99" s="1165"/>
      <c r="O99" s="1178"/>
      <c r="P99" s="1165"/>
      <c r="Q99" s="1178"/>
      <c r="R99" s="1173"/>
    </row>
    <row r="100" spans="1:28" s="2104" customFormat="1" ht="13.8" thickBot="1">
      <c r="A100" s="109" t="s">
        <v>87</v>
      </c>
      <c r="B100" s="1341"/>
      <c r="C100" s="1347"/>
      <c r="D100" s="1342"/>
      <c r="E100" s="1347"/>
      <c r="F100" s="1342"/>
      <c r="G100" s="1347"/>
      <c r="H100" s="1342"/>
      <c r="I100" s="1347"/>
      <c r="J100" s="1342"/>
      <c r="K100" s="1347"/>
      <c r="L100" s="1342"/>
      <c r="M100" s="34"/>
      <c r="N100" s="1165"/>
      <c r="O100" s="1178"/>
      <c r="P100" s="1165"/>
      <c r="Q100" s="1178"/>
      <c r="R100" s="1173"/>
    </row>
    <row r="101" spans="1:28" s="2104" customFormat="1">
      <c r="A101" s="2106" t="s">
        <v>45</v>
      </c>
      <c r="B101" s="3229">
        <v>540</v>
      </c>
      <c r="C101" s="3230"/>
      <c r="D101" s="3231">
        <v>591</v>
      </c>
      <c r="E101" s="3230"/>
      <c r="F101" s="3231">
        <v>598</v>
      </c>
      <c r="G101" s="3230"/>
      <c r="H101" s="3231">
        <v>606</v>
      </c>
      <c r="I101" s="3230"/>
      <c r="J101" s="3231">
        <v>643</v>
      </c>
      <c r="K101" s="3230"/>
      <c r="L101" s="3231">
        <v>653</v>
      </c>
      <c r="M101" s="1864"/>
      <c r="N101" s="962">
        <f t="shared" ref="N101:N103" si="47">AVERAGE(B101:F101)</f>
        <v>576.33333333333337</v>
      </c>
      <c r="O101" s="963"/>
      <c r="P101" s="962">
        <f t="shared" ref="P101:P103" si="48">AVERAGE(H101:L101)</f>
        <v>634</v>
      </c>
      <c r="Q101" s="963"/>
      <c r="R101" s="964">
        <f t="shared" ref="R101:R103" si="49">P101-N101</f>
        <v>57.666666666666629</v>
      </c>
      <c r="T101" s="4483" t="s">
        <v>366</v>
      </c>
      <c r="U101" s="4484"/>
      <c r="V101" s="4484"/>
      <c r="W101" s="4484"/>
      <c r="X101" s="4484"/>
      <c r="Y101" s="4484"/>
      <c r="Z101" s="4484"/>
      <c r="AA101" s="4484"/>
      <c r="AB101" s="4485"/>
    </row>
    <row r="102" spans="1:28" s="2104" customFormat="1" ht="13.8" thickBot="1">
      <c r="A102" s="2107" t="s">
        <v>47</v>
      </c>
      <c r="B102" s="3232">
        <v>530</v>
      </c>
      <c r="C102" s="3233"/>
      <c r="D102" s="3234">
        <v>515</v>
      </c>
      <c r="E102" s="3233"/>
      <c r="F102" s="3234">
        <v>520</v>
      </c>
      <c r="G102" s="3233"/>
      <c r="H102" s="3234">
        <v>447</v>
      </c>
      <c r="I102" s="3233"/>
      <c r="J102" s="3234">
        <v>554</v>
      </c>
      <c r="K102" s="3233"/>
      <c r="L102" s="3234">
        <v>526</v>
      </c>
      <c r="M102" s="1866"/>
      <c r="N102" s="966">
        <f t="shared" si="47"/>
        <v>521.66666666666663</v>
      </c>
      <c r="O102" s="967"/>
      <c r="P102" s="966">
        <f t="shared" si="48"/>
        <v>509</v>
      </c>
      <c r="Q102" s="967"/>
      <c r="R102" s="968">
        <f t="shared" si="49"/>
        <v>-12.666666666666629</v>
      </c>
      <c r="T102" s="3052">
        <v>2007</v>
      </c>
      <c r="U102" s="3032"/>
      <c r="V102" s="3032">
        <v>2008</v>
      </c>
      <c r="W102" s="3032"/>
      <c r="X102" s="3032">
        <v>2009</v>
      </c>
      <c r="Y102" s="3032"/>
      <c r="Z102" s="3032">
        <v>2010</v>
      </c>
      <c r="AA102" s="3032"/>
      <c r="AB102" s="3545">
        <v>2011</v>
      </c>
    </row>
    <row r="103" spans="1:28" s="2104" customFormat="1" ht="14.4" thickTop="1" thickBot="1">
      <c r="A103" s="2110" t="s">
        <v>49</v>
      </c>
      <c r="B103" s="129">
        <f>SUM(B96:B102)</f>
        <v>1070</v>
      </c>
      <c r="C103" s="224"/>
      <c r="D103" s="130">
        <f>SUM(D96:D102)</f>
        <v>1106</v>
      </c>
      <c r="E103" s="224"/>
      <c r="F103" s="130">
        <f>SUM(F96:F102)</f>
        <v>1118</v>
      </c>
      <c r="G103" s="224"/>
      <c r="H103" s="130">
        <f>SUM(H96:H102)</f>
        <v>1053</v>
      </c>
      <c r="I103" s="224"/>
      <c r="J103" s="130">
        <f>SUM(J96:J102)</f>
        <v>1197</v>
      </c>
      <c r="K103" s="224"/>
      <c r="L103" s="130">
        <f>SUM(L96:L102)</f>
        <v>1179</v>
      </c>
      <c r="M103" s="1859"/>
      <c r="N103" s="969">
        <f t="shared" si="47"/>
        <v>1098</v>
      </c>
      <c r="O103" s="970"/>
      <c r="P103" s="969">
        <f t="shared" si="48"/>
        <v>1143</v>
      </c>
      <c r="Q103" s="970"/>
      <c r="R103" s="971">
        <f t="shared" si="49"/>
        <v>45</v>
      </c>
      <c r="T103" s="3553">
        <f>D103/'Student Enrollment BRS VIII '!B514</f>
        <v>0.24643493761140819</v>
      </c>
      <c r="U103" s="3554"/>
      <c r="V103" s="3554">
        <f>F103/'Student Enrollment BRS VIII '!D514</f>
        <v>0.24272687798523665</v>
      </c>
      <c r="W103" s="3554"/>
      <c r="X103" s="3554">
        <f>H103/'Student Enrollment BRS VIII '!F514</f>
        <v>0.21485411140583555</v>
      </c>
      <c r="Y103" s="3554"/>
      <c r="Z103" s="3554">
        <f>J103/'Student Enrollment BRS VIII '!H514</f>
        <v>0.21791370835608956</v>
      </c>
      <c r="AA103" s="3554"/>
      <c r="AB103" s="3555">
        <f>L103/'Student Enrollment BRS VIII '!J514</f>
        <v>0.20345125107851597</v>
      </c>
    </row>
    <row r="104" spans="1:28" s="2406" customFormat="1" ht="13.8" thickBot="1">
      <c r="A104" s="2408"/>
      <c r="B104" s="3169"/>
      <c r="C104" s="3169"/>
      <c r="D104" s="3169"/>
      <c r="E104" s="3169"/>
      <c r="F104" s="2228"/>
      <c r="G104" s="3169"/>
      <c r="H104" s="3169"/>
      <c r="I104" s="3169"/>
      <c r="J104" s="3169"/>
      <c r="K104" s="3169"/>
      <c r="L104" s="3169"/>
      <c r="N104" s="1171"/>
      <c r="O104" s="1171"/>
      <c r="P104" s="1171"/>
      <c r="Q104" s="1171"/>
      <c r="R104" s="1171"/>
    </row>
    <row r="105" spans="1:28" s="2407" customFormat="1" ht="25.5" customHeight="1" thickBot="1">
      <c r="A105" s="442" t="s">
        <v>217</v>
      </c>
      <c r="B105" s="3172" t="s">
        <v>2</v>
      </c>
      <c r="C105" s="3173"/>
      <c r="D105" s="3174" t="s">
        <v>3</v>
      </c>
      <c r="E105" s="3173"/>
      <c r="F105" s="3175" t="s">
        <v>4</v>
      </c>
      <c r="G105" s="3173"/>
      <c r="H105" s="3176" t="s">
        <v>5</v>
      </c>
      <c r="I105" s="3173"/>
      <c r="J105" s="3176" t="s">
        <v>6</v>
      </c>
      <c r="K105" s="3173"/>
      <c r="L105" s="3176" t="s">
        <v>7</v>
      </c>
      <c r="M105" s="2294"/>
      <c r="N105" s="1174" t="s">
        <v>33</v>
      </c>
      <c r="O105" s="1167"/>
      <c r="P105" s="1174" t="s">
        <v>34</v>
      </c>
      <c r="Q105" s="1167"/>
      <c r="R105" s="1175" t="s">
        <v>35</v>
      </c>
    </row>
    <row r="106" spans="1:28" s="2406" customFormat="1">
      <c r="A106" s="2412" t="s">
        <v>43</v>
      </c>
      <c r="B106" s="1346"/>
      <c r="C106" s="1168"/>
      <c r="D106" s="43"/>
      <c r="E106" s="1168"/>
      <c r="F106" s="43"/>
      <c r="G106" s="1168"/>
      <c r="H106" s="43"/>
      <c r="I106" s="1168"/>
      <c r="J106" s="43"/>
      <c r="K106" s="1168"/>
      <c r="L106" s="43"/>
      <c r="M106" s="25"/>
      <c r="N106" s="1165"/>
      <c r="O106" s="1170"/>
      <c r="P106" s="1165"/>
      <c r="Q106" s="1170"/>
      <c r="R106" s="1173"/>
    </row>
    <row r="107" spans="1:28" s="2406" customFormat="1">
      <c r="A107" s="2410" t="s">
        <v>44</v>
      </c>
      <c r="B107" s="1164"/>
      <c r="C107" s="223"/>
      <c r="D107" s="128"/>
      <c r="E107" s="223"/>
      <c r="F107" s="128"/>
      <c r="G107" s="223"/>
      <c r="H107" s="128"/>
      <c r="I107" s="223"/>
      <c r="J107" s="128"/>
      <c r="K107" s="223"/>
      <c r="L107" s="128"/>
      <c r="M107" s="2299"/>
      <c r="N107" s="962"/>
      <c r="O107" s="963"/>
      <c r="P107" s="962"/>
      <c r="Q107" s="963"/>
      <c r="R107" s="964"/>
    </row>
    <row r="108" spans="1:28" s="2406" customFormat="1">
      <c r="A108" s="2410" t="s">
        <v>45</v>
      </c>
      <c r="B108" s="177"/>
      <c r="C108" s="225"/>
      <c r="D108" s="217"/>
      <c r="E108" s="225"/>
      <c r="F108" s="217"/>
      <c r="G108" s="225"/>
      <c r="H108" s="217"/>
      <c r="I108" s="225"/>
      <c r="J108" s="217"/>
      <c r="K108" s="225"/>
      <c r="L108" s="217"/>
      <c r="M108" s="2301"/>
      <c r="N108" s="962"/>
      <c r="O108" s="963"/>
      <c r="P108" s="962"/>
      <c r="Q108" s="963"/>
      <c r="R108" s="964"/>
    </row>
    <row r="109" spans="1:28" s="2406" customFormat="1">
      <c r="A109" s="2410" t="s">
        <v>46</v>
      </c>
      <c r="B109" s="177"/>
      <c r="C109" s="225"/>
      <c r="D109" s="217"/>
      <c r="E109" s="225"/>
      <c r="F109" s="217"/>
      <c r="G109" s="225"/>
      <c r="H109" s="217"/>
      <c r="I109" s="225"/>
      <c r="J109" s="217"/>
      <c r="K109" s="225"/>
      <c r="L109" s="217"/>
      <c r="M109" s="2301"/>
      <c r="N109" s="962"/>
      <c r="O109" s="963"/>
      <c r="P109" s="962"/>
      <c r="Q109" s="963"/>
      <c r="R109" s="964"/>
    </row>
    <row r="110" spans="1:28" s="2406" customFormat="1">
      <c r="A110" s="2410"/>
      <c r="B110" s="1341"/>
      <c r="C110" s="1347"/>
      <c r="D110" s="1342"/>
      <c r="E110" s="1347"/>
      <c r="F110" s="1342"/>
      <c r="G110" s="1347"/>
      <c r="H110" s="1342"/>
      <c r="I110" s="1347"/>
      <c r="J110" s="1342"/>
      <c r="K110" s="1347"/>
      <c r="L110" s="1342"/>
      <c r="M110" s="34"/>
      <c r="N110" s="1165"/>
      <c r="O110" s="1178"/>
      <c r="P110" s="1165"/>
      <c r="Q110" s="1178"/>
      <c r="R110" s="1173"/>
    </row>
    <row r="111" spans="1:28" s="2406" customFormat="1" ht="13.8" thickBot="1">
      <c r="A111" s="2416" t="s">
        <v>87</v>
      </c>
      <c r="B111" s="1341"/>
      <c r="C111" s="1347"/>
      <c r="D111" s="1342"/>
      <c r="E111" s="1347"/>
      <c r="F111" s="1342"/>
      <c r="G111" s="1347"/>
      <c r="H111" s="1342"/>
      <c r="I111" s="1347"/>
      <c r="J111" s="1342"/>
      <c r="K111" s="1347"/>
      <c r="L111" s="1342"/>
      <c r="M111" s="34"/>
      <c r="N111" s="1165"/>
      <c r="O111" s="1178"/>
      <c r="P111" s="1165"/>
      <c r="Q111" s="1178"/>
      <c r="R111" s="1173"/>
    </row>
    <row r="112" spans="1:28" s="2406" customFormat="1">
      <c r="A112" s="2410" t="s">
        <v>45</v>
      </c>
      <c r="B112" s="177">
        <v>1147</v>
      </c>
      <c r="C112" s="3237"/>
      <c r="D112" s="217">
        <v>1140</v>
      </c>
      <c r="E112" s="3237"/>
      <c r="F112" s="217">
        <v>1105</v>
      </c>
      <c r="G112" s="3237"/>
      <c r="H112" s="217">
        <v>1153</v>
      </c>
      <c r="I112" s="3237"/>
      <c r="J112" s="217">
        <v>1182</v>
      </c>
      <c r="K112" s="3237"/>
      <c r="L112" s="217">
        <v>1308</v>
      </c>
      <c r="M112" s="2301"/>
      <c r="N112" s="962">
        <f t="shared" ref="N112:N114" si="50">AVERAGE(B112:F112)</f>
        <v>1130.6666666666667</v>
      </c>
      <c r="O112" s="963"/>
      <c r="P112" s="962">
        <f t="shared" ref="P112:P114" si="51">AVERAGE(H112:L112)</f>
        <v>1214.3333333333333</v>
      </c>
      <c r="Q112" s="963"/>
      <c r="R112" s="964">
        <f t="shared" ref="R112:R114" si="52">P112-N112</f>
        <v>83.666666666666515</v>
      </c>
      <c r="T112" s="4483" t="s">
        <v>366</v>
      </c>
      <c r="U112" s="4484"/>
      <c r="V112" s="4484"/>
      <c r="W112" s="4484"/>
      <c r="X112" s="4484"/>
      <c r="Y112" s="4484"/>
      <c r="Z112" s="4484"/>
      <c r="AA112" s="4484"/>
      <c r="AB112" s="4485"/>
    </row>
    <row r="113" spans="1:28" s="2406" customFormat="1" ht="13.8" thickBot="1">
      <c r="A113" s="2411" t="s">
        <v>47</v>
      </c>
      <c r="B113" s="1345">
        <v>1246</v>
      </c>
      <c r="C113" s="3238"/>
      <c r="D113" s="1340">
        <v>1096</v>
      </c>
      <c r="E113" s="3238"/>
      <c r="F113" s="1340">
        <v>1004</v>
      </c>
      <c r="G113" s="3238"/>
      <c r="H113" s="1340">
        <v>1027</v>
      </c>
      <c r="I113" s="3238"/>
      <c r="J113" s="1340">
        <v>1018</v>
      </c>
      <c r="K113" s="3238"/>
      <c r="L113" s="1340">
        <v>1045</v>
      </c>
      <c r="M113" s="1866"/>
      <c r="N113" s="966">
        <f t="shared" si="50"/>
        <v>1115.3333333333333</v>
      </c>
      <c r="O113" s="967"/>
      <c r="P113" s="966">
        <f t="shared" si="51"/>
        <v>1030</v>
      </c>
      <c r="Q113" s="967"/>
      <c r="R113" s="968">
        <f t="shared" si="52"/>
        <v>-85.333333333333258</v>
      </c>
      <c r="T113" s="3052">
        <v>2007</v>
      </c>
      <c r="U113" s="3032"/>
      <c r="V113" s="3032">
        <v>2008</v>
      </c>
      <c r="W113" s="3032"/>
      <c r="X113" s="3032">
        <v>2009</v>
      </c>
      <c r="Y113" s="3032"/>
      <c r="Z113" s="3032">
        <v>2010</v>
      </c>
      <c r="AA113" s="3032"/>
      <c r="AB113" s="3545">
        <v>2011</v>
      </c>
    </row>
    <row r="114" spans="1:28" s="2406" customFormat="1" ht="14.4" thickTop="1" thickBot="1">
      <c r="A114" s="2409" t="s">
        <v>49</v>
      </c>
      <c r="B114" s="129">
        <f>SUM(B107:B113)</f>
        <v>2393</v>
      </c>
      <c r="C114" s="224"/>
      <c r="D114" s="130">
        <f>SUM(D107:D113)</f>
        <v>2236</v>
      </c>
      <c r="E114" s="224"/>
      <c r="F114" s="130">
        <f>SUM(F107:F113)</f>
        <v>2109</v>
      </c>
      <c r="G114" s="224"/>
      <c r="H114" s="130">
        <f>SUM(H107:H113)</f>
        <v>2180</v>
      </c>
      <c r="I114" s="224"/>
      <c r="J114" s="130">
        <f>SUM(J107:J113)</f>
        <v>2200</v>
      </c>
      <c r="K114" s="224"/>
      <c r="L114" s="130">
        <f>SUM(L107:L113)</f>
        <v>2353</v>
      </c>
      <c r="M114" s="1859"/>
      <c r="N114" s="969">
        <f t="shared" si="50"/>
        <v>2246</v>
      </c>
      <c r="O114" s="970"/>
      <c r="P114" s="969">
        <f t="shared" si="51"/>
        <v>2244.3333333333335</v>
      </c>
      <c r="Q114" s="970"/>
      <c r="R114" s="971">
        <f t="shared" si="52"/>
        <v>-1.6666666666665151</v>
      </c>
      <c r="T114" s="3553">
        <f>D114/'Student Enrollment BRS VIII '!B550</f>
        <v>0.22326510234648028</v>
      </c>
      <c r="U114" s="3554"/>
      <c r="V114" s="3554">
        <f>F114/'Student Enrollment BRS VIII '!D550</f>
        <v>0.21014348345954564</v>
      </c>
      <c r="W114" s="3554"/>
      <c r="X114" s="3554">
        <f>H114/'Student Enrollment BRS VIII '!F550</f>
        <v>0.23147165003185391</v>
      </c>
      <c r="Y114" s="3554"/>
      <c r="Z114" s="3554">
        <f>J114/'Student Enrollment BRS VIII '!H550</f>
        <v>0.23411727146961797</v>
      </c>
      <c r="AA114" s="3554"/>
      <c r="AB114" s="3555">
        <f>L114/'Student Enrollment BRS VIII '!J550</f>
        <v>0.22326596451276212</v>
      </c>
    </row>
    <row r="115" spans="1:28" s="2714" customFormat="1" ht="13.8" thickBot="1">
      <c r="A115" s="2721"/>
      <c r="B115" s="3169"/>
      <c r="C115" s="3169"/>
      <c r="D115" s="3169"/>
      <c r="E115" s="3169"/>
      <c r="F115" s="2228"/>
      <c r="G115" s="3169"/>
      <c r="H115" s="3169"/>
      <c r="I115" s="3169"/>
      <c r="J115" s="3169"/>
      <c r="K115" s="3169"/>
      <c r="L115" s="3169"/>
      <c r="N115" s="1171"/>
      <c r="O115" s="1171"/>
      <c r="P115" s="1171"/>
      <c r="Q115" s="1171"/>
      <c r="R115" s="1171"/>
    </row>
    <row r="116" spans="1:28" s="2716" customFormat="1" ht="25.5" customHeight="1" thickBot="1">
      <c r="A116" s="442" t="s">
        <v>225</v>
      </c>
      <c r="B116" s="3172" t="s">
        <v>2</v>
      </c>
      <c r="C116" s="3173"/>
      <c r="D116" s="3174" t="s">
        <v>3</v>
      </c>
      <c r="E116" s="3173"/>
      <c r="F116" s="3175" t="s">
        <v>4</v>
      </c>
      <c r="G116" s="3173"/>
      <c r="H116" s="3176" t="s">
        <v>5</v>
      </c>
      <c r="I116" s="3173"/>
      <c r="J116" s="3176" t="s">
        <v>6</v>
      </c>
      <c r="K116" s="3173"/>
      <c r="L116" s="3176" t="s">
        <v>7</v>
      </c>
      <c r="M116" s="2715"/>
      <c r="N116" s="1174" t="s">
        <v>33</v>
      </c>
      <c r="O116" s="1167"/>
      <c r="P116" s="1174" t="s">
        <v>34</v>
      </c>
      <c r="Q116" s="1167"/>
      <c r="R116" s="1175" t="s">
        <v>35</v>
      </c>
    </row>
    <row r="117" spans="1:28" s="2714" customFormat="1">
      <c r="A117" s="2724" t="s">
        <v>43</v>
      </c>
      <c r="B117" s="1346"/>
      <c r="C117" s="1168"/>
      <c r="D117" s="43"/>
      <c r="E117" s="1168"/>
      <c r="F117" s="43"/>
      <c r="G117" s="1168"/>
      <c r="H117" s="43"/>
      <c r="I117" s="1168"/>
      <c r="J117" s="43"/>
      <c r="K117" s="1168"/>
      <c r="L117" s="43"/>
      <c r="M117" s="25"/>
      <c r="N117" s="1165"/>
      <c r="O117" s="1170"/>
      <c r="P117" s="1165"/>
      <c r="Q117" s="1170"/>
      <c r="R117" s="1173"/>
    </row>
    <row r="118" spans="1:28" s="2714" customFormat="1">
      <c r="A118" s="2717" t="s">
        <v>44</v>
      </c>
      <c r="B118" s="1164"/>
      <c r="C118" s="223"/>
      <c r="D118" s="128"/>
      <c r="E118" s="223"/>
      <c r="F118" s="128"/>
      <c r="G118" s="223"/>
      <c r="H118" s="128"/>
      <c r="I118" s="223"/>
      <c r="J118" s="128"/>
      <c r="K118" s="223"/>
      <c r="L118" s="128"/>
      <c r="M118" s="2617"/>
      <c r="N118" s="962"/>
      <c r="O118" s="963"/>
      <c r="P118" s="962"/>
      <c r="Q118" s="963"/>
      <c r="R118" s="964"/>
    </row>
    <row r="119" spans="1:28" s="2714" customFormat="1">
      <c r="A119" s="2717" t="s">
        <v>45</v>
      </c>
      <c r="B119" s="177"/>
      <c r="C119" s="225"/>
      <c r="D119" s="217"/>
      <c r="E119" s="225"/>
      <c r="F119" s="217"/>
      <c r="G119" s="225"/>
      <c r="H119" s="217"/>
      <c r="I119" s="225"/>
      <c r="J119" s="217"/>
      <c r="K119" s="225"/>
      <c r="L119" s="217"/>
      <c r="M119" s="2620"/>
      <c r="N119" s="962"/>
      <c r="O119" s="963"/>
      <c r="P119" s="962"/>
      <c r="Q119" s="963"/>
      <c r="R119" s="964"/>
    </row>
    <row r="120" spans="1:28" s="2714" customFormat="1">
      <c r="A120" s="2717" t="s">
        <v>46</v>
      </c>
      <c r="B120" s="177"/>
      <c r="C120" s="225"/>
      <c r="D120" s="217"/>
      <c r="E120" s="225"/>
      <c r="F120" s="217"/>
      <c r="G120" s="225"/>
      <c r="H120" s="217"/>
      <c r="I120" s="225"/>
      <c r="J120" s="217"/>
      <c r="K120" s="225"/>
      <c r="L120" s="217"/>
      <c r="M120" s="2620"/>
      <c r="N120" s="962"/>
      <c r="O120" s="963"/>
      <c r="P120" s="962"/>
      <c r="Q120" s="963"/>
      <c r="R120" s="964"/>
    </row>
    <row r="121" spans="1:28" s="2714" customFormat="1">
      <c r="A121" s="2717"/>
      <c r="B121" s="1341"/>
      <c r="C121" s="1347"/>
      <c r="D121" s="1342"/>
      <c r="E121" s="1347"/>
      <c r="F121" s="1342"/>
      <c r="G121" s="1347"/>
      <c r="H121" s="1342"/>
      <c r="I121" s="1347"/>
      <c r="J121" s="1342"/>
      <c r="K121" s="1347"/>
      <c r="L121" s="1342"/>
      <c r="M121" s="34"/>
      <c r="N121" s="1165"/>
      <c r="O121" s="1178"/>
      <c r="P121" s="1165"/>
      <c r="Q121" s="1178"/>
      <c r="R121" s="1173"/>
    </row>
    <row r="122" spans="1:28" s="2714" customFormat="1" ht="13.8" thickBot="1">
      <c r="A122" s="2480" t="s">
        <v>87</v>
      </c>
      <c r="B122" s="1341"/>
      <c r="C122" s="1347"/>
      <c r="D122" s="1342"/>
      <c r="E122" s="1347"/>
      <c r="F122" s="1342"/>
      <c r="G122" s="1347"/>
      <c r="H122" s="1342"/>
      <c r="I122" s="1347"/>
      <c r="J122" s="1342"/>
      <c r="K122" s="1347"/>
      <c r="L122" s="1342"/>
      <c r="M122" s="34"/>
      <c r="N122" s="1165"/>
      <c r="O122" s="1178"/>
      <c r="P122" s="1165"/>
      <c r="Q122" s="1178"/>
      <c r="R122" s="1173"/>
    </row>
    <row r="123" spans="1:28" s="2714" customFormat="1">
      <c r="A123" s="2717" t="s">
        <v>45</v>
      </c>
      <c r="B123" s="3229">
        <v>1363</v>
      </c>
      <c r="C123" s="3230"/>
      <c r="D123" s="3231">
        <v>1363</v>
      </c>
      <c r="E123" s="3230"/>
      <c r="F123" s="3231">
        <v>1294</v>
      </c>
      <c r="G123" s="3230"/>
      <c r="H123" s="3231">
        <v>1388</v>
      </c>
      <c r="I123" s="3230"/>
      <c r="J123" s="3231">
        <v>1431</v>
      </c>
      <c r="K123" s="3230"/>
      <c r="L123" s="3231">
        <v>1418</v>
      </c>
      <c r="M123" s="2620"/>
      <c r="N123" s="962">
        <f t="shared" ref="N123:N125" si="53">AVERAGE(B123:F123)</f>
        <v>1340</v>
      </c>
      <c r="O123" s="963"/>
      <c r="P123" s="962">
        <f t="shared" ref="P123:P125" si="54">AVERAGE(H123:L123)</f>
        <v>1412.3333333333333</v>
      </c>
      <c r="Q123" s="963"/>
      <c r="R123" s="964">
        <f t="shared" ref="R123:R125" si="55">P123-N123</f>
        <v>72.333333333333258</v>
      </c>
      <c r="T123" s="4483" t="s">
        <v>366</v>
      </c>
      <c r="U123" s="4484"/>
      <c r="V123" s="4484"/>
      <c r="W123" s="4484"/>
      <c r="X123" s="4484"/>
      <c r="Y123" s="4484"/>
      <c r="Z123" s="4484"/>
      <c r="AA123" s="4484"/>
      <c r="AB123" s="4485"/>
    </row>
    <row r="124" spans="1:28" s="2714" customFormat="1" ht="13.8" thickBot="1">
      <c r="A124" s="2718" t="s">
        <v>47</v>
      </c>
      <c r="B124" s="3232">
        <v>1169</v>
      </c>
      <c r="C124" s="3233"/>
      <c r="D124" s="3234">
        <v>1174</v>
      </c>
      <c r="E124" s="3233"/>
      <c r="F124" s="3234">
        <v>1206</v>
      </c>
      <c r="G124" s="3233"/>
      <c r="H124" s="3234">
        <v>1169</v>
      </c>
      <c r="I124" s="3233"/>
      <c r="J124" s="3234">
        <v>1288</v>
      </c>
      <c r="K124" s="3233"/>
      <c r="L124" s="3234">
        <v>1292</v>
      </c>
      <c r="M124" s="2622"/>
      <c r="N124" s="966">
        <f t="shared" si="53"/>
        <v>1183</v>
      </c>
      <c r="O124" s="967"/>
      <c r="P124" s="966">
        <f t="shared" si="54"/>
        <v>1249.6666666666667</v>
      </c>
      <c r="Q124" s="967"/>
      <c r="R124" s="968">
        <f t="shared" si="55"/>
        <v>66.666666666666742</v>
      </c>
      <c r="T124" s="3052">
        <v>2007</v>
      </c>
      <c r="U124" s="3032"/>
      <c r="V124" s="3032">
        <v>2008</v>
      </c>
      <c r="W124" s="3032"/>
      <c r="X124" s="3032">
        <v>2009</v>
      </c>
      <c r="Y124" s="3032"/>
      <c r="Z124" s="3032">
        <v>2010</v>
      </c>
      <c r="AA124" s="3032"/>
      <c r="AB124" s="3545">
        <v>2011</v>
      </c>
    </row>
    <row r="125" spans="1:28" s="2714" customFormat="1" ht="14.4" thickTop="1" thickBot="1">
      <c r="A125" s="2720" t="s">
        <v>49</v>
      </c>
      <c r="B125" s="129">
        <f>SUM(B118:B124)</f>
        <v>2532</v>
      </c>
      <c r="C125" s="224"/>
      <c r="D125" s="130">
        <f>SUM(D118:D124)</f>
        <v>2537</v>
      </c>
      <c r="E125" s="224"/>
      <c r="F125" s="130">
        <f>SUM(F118:F124)</f>
        <v>2500</v>
      </c>
      <c r="G125" s="224"/>
      <c r="H125" s="130">
        <f>SUM(H118:H124)</f>
        <v>2557</v>
      </c>
      <c r="I125" s="224"/>
      <c r="J125" s="130">
        <f>SUM(J118:J124)</f>
        <v>2719</v>
      </c>
      <c r="K125" s="224"/>
      <c r="L125" s="130">
        <f>SUM(L118:L124)</f>
        <v>2710</v>
      </c>
      <c r="M125" s="2615"/>
      <c r="N125" s="969">
        <f t="shared" si="53"/>
        <v>2523</v>
      </c>
      <c r="O125" s="970"/>
      <c r="P125" s="969">
        <f t="shared" si="54"/>
        <v>2662</v>
      </c>
      <c r="Q125" s="970"/>
      <c r="R125" s="971">
        <f t="shared" si="55"/>
        <v>139</v>
      </c>
      <c r="T125" s="3553">
        <f>D125/'Student Enrollment BRS VIII '!B622</f>
        <v>0.25654767923955912</v>
      </c>
      <c r="U125" s="3554"/>
      <c r="V125" s="3554">
        <f>F125/'Student Enrollment BRS VIII '!D622</f>
        <v>0.25128153583274698</v>
      </c>
      <c r="W125" s="3554"/>
      <c r="X125" s="3554">
        <f>H125/'Student Enrollment BRS VIII '!F622</f>
        <v>0.24851783458062007</v>
      </c>
      <c r="Y125" s="3554"/>
      <c r="Z125" s="3554">
        <f>J125/'Student Enrollment BRS VIII '!H622</f>
        <v>0.25043750575665469</v>
      </c>
      <c r="AA125" s="3554"/>
      <c r="AB125" s="3555">
        <f>L125/'Student Enrollment BRS VIII '!J622</f>
        <v>0.24432023079697079</v>
      </c>
    </row>
    <row r="126" spans="1:28" s="2948" customFormat="1" ht="13.8" thickBot="1">
      <c r="A126" s="2950"/>
      <c r="B126" s="3169"/>
      <c r="C126" s="3169"/>
      <c r="D126" s="3169"/>
      <c r="E126" s="3169"/>
      <c r="F126" s="2228"/>
      <c r="G126" s="3169"/>
      <c r="H126" s="3169"/>
      <c r="I126" s="3169"/>
      <c r="J126" s="3169"/>
      <c r="K126" s="3169"/>
      <c r="L126" s="3169"/>
      <c r="N126" s="1171"/>
      <c r="O126" s="1171"/>
      <c r="P126" s="1171"/>
      <c r="Q126" s="1171"/>
      <c r="R126" s="1171"/>
    </row>
    <row r="127" spans="1:28" s="2949" customFormat="1" ht="25.5" customHeight="1" thickBot="1">
      <c r="A127" s="2906" t="s">
        <v>244</v>
      </c>
      <c r="B127" s="3172" t="s">
        <v>2</v>
      </c>
      <c r="C127" s="3173"/>
      <c r="D127" s="3174" t="s">
        <v>3</v>
      </c>
      <c r="E127" s="3173"/>
      <c r="F127" s="3175" t="s">
        <v>4</v>
      </c>
      <c r="G127" s="3173"/>
      <c r="H127" s="3176" t="s">
        <v>5</v>
      </c>
      <c r="I127" s="3173"/>
      <c r="J127" s="3176" t="s">
        <v>6</v>
      </c>
      <c r="K127" s="3173"/>
      <c r="L127" s="3176" t="s">
        <v>7</v>
      </c>
      <c r="M127" s="2955"/>
      <c r="N127" s="1174" t="s">
        <v>33</v>
      </c>
      <c r="O127" s="1167"/>
      <c r="P127" s="1174" t="s">
        <v>34</v>
      </c>
      <c r="Q127" s="1167"/>
      <c r="R127" s="1175" t="s">
        <v>35</v>
      </c>
    </row>
    <row r="128" spans="1:28" s="2948" customFormat="1">
      <c r="A128" s="2954" t="s">
        <v>43</v>
      </c>
      <c r="B128" s="1346"/>
      <c r="C128" s="1168"/>
      <c r="D128" s="43"/>
      <c r="E128" s="1168"/>
      <c r="F128" s="43"/>
      <c r="G128" s="1168"/>
      <c r="H128" s="43"/>
      <c r="I128" s="1168"/>
      <c r="J128" s="43"/>
      <c r="K128" s="1168"/>
      <c r="L128" s="43"/>
      <c r="M128" s="25"/>
      <c r="N128" s="1165"/>
      <c r="O128" s="1170"/>
      <c r="P128" s="1165"/>
      <c r="Q128" s="1170"/>
      <c r="R128" s="1173"/>
    </row>
    <row r="129" spans="1:28" s="2948" customFormat="1">
      <c r="A129" s="2952" t="s">
        <v>44</v>
      </c>
      <c r="B129" s="3207">
        <v>16869</v>
      </c>
      <c r="C129" s="3208"/>
      <c r="D129" s="218">
        <v>17626</v>
      </c>
      <c r="E129" s="3208"/>
      <c r="F129" s="218">
        <v>19345</v>
      </c>
      <c r="G129" s="3208"/>
      <c r="H129" s="218">
        <v>19962</v>
      </c>
      <c r="I129" s="3208"/>
      <c r="J129" s="218">
        <v>28649</v>
      </c>
      <c r="K129" s="3208"/>
      <c r="L129" s="218">
        <v>27862</v>
      </c>
      <c r="M129" s="2958"/>
      <c r="N129" s="962">
        <f>AVERAGE(B129:F129)</f>
        <v>17946.666666666668</v>
      </c>
      <c r="O129" s="963"/>
      <c r="P129" s="962">
        <f>AVERAGE(H129:L129)</f>
        <v>25491</v>
      </c>
      <c r="Q129" s="963"/>
      <c r="R129" s="964">
        <f>P129-N129</f>
        <v>7544.3333333333321</v>
      </c>
    </row>
    <row r="130" spans="1:28" s="2948" customFormat="1">
      <c r="A130" s="2952" t="s">
        <v>45</v>
      </c>
      <c r="B130" s="177">
        <v>11630</v>
      </c>
      <c r="C130" s="225"/>
      <c r="D130" s="217">
        <v>12002</v>
      </c>
      <c r="E130" s="225"/>
      <c r="F130" s="217">
        <v>12517</v>
      </c>
      <c r="G130" s="225"/>
      <c r="H130" s="217">
        <v>11756</v>
      </c>
      <c r="I130" s="225"/>
      <c r="J130" s="217">
        <v>16670</v>
      </c>
      <c r="K130" s="225"/>
      <c r="L130" s="217">
        <v>19906</v>
      </c>
      <c r="M130" s="2961"/>
      <c r="N130" s="962">
        <f t="shared" ref="N130:N131" si="56">AVERAGE(B130:F130)</f>
        <v>12049.666666666666</v>
      </c>
      <c r="O130" s="963"/>
      <c r="P130" s="962">
        <f t="shared" ref="P130:P131" si="57">AVERAGE(H130:L130)</f>
        <v>16110.666666666666</v>
      </c>
      <c r="Q130" s="963"/>
      <c r="R130" s="964">
        <f t="shared" ref="R130:R131" si="58">P130-N130</f>
        <v>4061</v>
      </c>
    </row>
    <row r="131" spans="1:28" s="2948" customFormat="1">
      <c r="A131" s="2952" t="s">
        <v>46</v>
      </c>
      <c r="B131" s="177">
        <v>8238</v>
      </c>
      <c r="C131" s="225"/>
      <c r="D131" s="217">
        <v>8817</v>
      </c>
      <c r="E131" s="225"/>
      <c r="F131" s="217">
        <v>8916</v>
      </c>
      <c r="G131" s="225"/>
      <c r="H131" s="217">
        <v>7855</v>
      </c>
      <c r="I131" s="225"/>
      <c r="J131" s="217">
        <v>11069</v>
      </c>
      <c r="K131" s="225"/>
      <c r="L131" s="217">
        <v>13786</v>
      </c>
      <c r="M131" s="2961"/>
      <c r="N131" s="962">
        <f t="shared" si="56"/>
        <v>8657</v>
      </c>
      <c r="O131" s="963"/>
      <c r="P131" s="962">
        <f t="shared" si="57"/>
        <v>10903.333333333334</v>
      </c>
      <c r="Q131" s="963"/>
      <c r="R131" s="964">
        <f t="shared" si="58"/>
        <v>2246.3333333333339</v>
      </c>
    </row>
    <row r="132" spans="1:28" s="2948" customFormat="1">
      <c r="A132" s="2952"/>
      <c r="B132" s="1341"/>
      <c r="C132" s="1347"/>
      <c r="D132" s="1342"/>
      <c r="E132" s="1347"/>
      <c r="F132" s="1342"/>
      <c r="G132" s="1347"/>
      <c r="H132" s="1342"/>
      <c r="I132" s="1347"/>
      <c r="J132" s="1342"/>
      <c r="K132" s="1347"/>
      <c r="L132" s="1342"/>
      <c r="M132" s="34"/>
      <c r="N132" s="1165"/>
      <c r="O132" s="1178"/>
      <c r="P132" s="1165"/>
      <c r="Q132" s="1178"/>
      <c r="R132" s="1173"/>
    </row>
    <row r="133" spans="1:28" s="2948" customFormat="1" ht="13.8" thickBot="1">
      <c r="A133" s="2480" t="s">
        <v>87</v>
      </c>
      <c r="B133" s="1341"/>
      <c r="C133" s="1347"/>
      <c r="D133" s="1342"/>
      <c r="E133" s="1347"/>
      <c r="F133" s="1342"/>
      <c r="G133" s="1347"/>
      <c r="H133" s="1342"/>
      <c r="I133" s="1347"/>
      <c r="J133" s="1342"/>
      <c r="K133" s="1347"/>
      <c r="L133" s="1342"/>
      <c r="M133" s="34"/>
      <c r="N133" s="1165"/>
      <c r="O133" s="1178"/>
      <c r="P133" s="1165"/>
      <c r="Q133" s="1178"/>
      <c r="R133" s="1173"/>
    </row>
    <row r="134" spans="1:28" s="2948" customFormat="1">
      <c r="A134" s="2952" t="s">
        <v>45</v>
      </c>
      <c r="B134" s="3229"/>
      <c r="C134" s="3230"/>
      <c r="D134" s="3231"/>
      <c r="E134" s="3230"/>
      <c r="F134" s="3231"/>
      <c r="G134" s="3230"/>
      <c r="H134" s="3231"/>
      <c r="I134" s="3230"/>
      <c r="J134" s="3231"/>
      <c r="K134" s="3230"/>
      <c r="L134" s="3231"/>
      <c r="M134" s="2961"/>
      <c r="N134" s="962"/>
      <c r="O134" s="963"/>
      <c r="P134" s="962"/>
      <c r="Q134" s="963"/>
      <c r="R134" s="964"/>
      <c r="T134" s="4483" t="s">
        <v>366</v>
      </c>
      <c r="U134" s="4484"/>
      <c r="V134" s="4484"/>
      <c r="W134" s="4484"/>
      <c r="X134" s="4484"/>
      <c r="Y134" s="4484"/>
      <c r="Z134" s="4484"/>
      <c r="AA134" s="4484"/>
      <c r="AB134" s="4485"/>
    </row>
    <row r="135" spans="1:28" s="2948" customFormat="1" ht="13.8" thickBot="1">
      <c r="A135" s="2953" t="s">
        <v>47</v>
      </c>
      <c r="B135" s="3232"/>
      <c r="C135" s="3233"/>
      <c r="D135" s="3234"/>
      <c r="E135" s="3233"/>
      <c r="F135" s="3234"/>
      <c r="G135" s="3233"/>
      <c r="H135" s="3234"/>
      <c r="I135" s="3233"/>
      <c r="J135" s="3234"/>
      <c r="K135" s="3233"/>
      <c r="L135" s="3234"/>
      <c r="M135" s="2963"/>
      <c r="N135" s="966"/>
      <c r="O135" s="967"/>
      <c r="P135" s="966"/>
      <c r="Q135" s="967"/>
      <c r="R135" s="968"/>
      <c r="T135" s="3052">
        <v>2007</v>
      </c>
      <c r="U135" s="3032"/>
      <c r="V135" s="3032">
        <v>2008</v>
      </c>
      <c r="W135" s="3032"/>
      <c r="X135" s="3032">
        <v>2009</v>
      </c>
      <c r="Y135" s="3032"/>
      <c r="Z135" s="3032">
        <v>2010</v>
      </c>
      <c r="AA135" s="3032"/>
      <c r="AB135" s="3545">
        <v>2011</v>
      </c>
    </row>
    <row r="136" spans="1:28" s="2948" customFormat="1" ht="14.4" thickTop="1" thickBot="1">
      <c r="A136" s="2951" t="s">
        <v>49</v>
      </c>
      <c r="B136" s="129">
        <f>SUM(B129:B135)</f>
        <v>36737</v>
      </c>
      <c r="C136" s="224"/>
      <c r="D136" s="130">
        <f>SUM(D129:D135)</f>
        <v>38445</v>
      </c>
      <c r="E136" s="224"/>
      <c r="F136" s="130">
        <f>SUM(F129:F135)</f>
        <v>40778</v>
      </c>
      <c r="G136" s="224"/>
      <c r="H136" s="130">
        <f>SUM(H129:H135)</f>
        <v>39573</v>
      </c>
      <c r="I136" s="224"/>
      <c r="J136" s="130">
        <f>SUM(J129:J135)</f>
        <v>56388</v>
      </c>
      <c r="K136" s="224"/>
      <c r="L136" s="130">
        <f>SUM(L129:L135)</f>
        <v>61554</v>
      </c>
      <c r="M136" s="2956"/>
      <c r="N136" s="969">
        <f t="shared" ref="N136" si="59">AVERAGE(B136:F136)</f>
        <v>38653.333333333336</v>
      </c>
      <c r="O136" s="970"/>
      <c r="P136" s="969">
        <f t="shared" ref="P136" si="60">AVERAGE(H136:L136)</f>
        <v>52505</v>
      </c>
      <c r="Q136" s="970"/>
      <c r="R136" s="971">
        <f t="shared" ref="R136" si="61">P136-N136</f>
        <v>13851.666666666664</v>
      </c>
      <c r="T136" s="3553">
        <f>D136/'Student Enrollment BRS VIII '!B658</f>
        <v>0.35884296594982079</v>
      </c>
      <c r="U136" s="3554"/>
      <c r="V136" s="3554">
        <f>F136/'Student Enrollment BRS VIII '!D658</f>
        <v>0.35011290364124975</v>
      </c>
      <c r="W136" s="3554"/>
      <c r="X136" s="3554">
        <f>H136/'Student Enrollment BRS VIII '!F658</f>
        <v>0.29783470937539985</v>
      </c>
      <c r="Y136" s="3554"/>
      <c r="Z136" s="3554">
        <f>J136/'Student Enrollment BRS VIII '!H658</f>
        <v>0.34579015146869441</v>
      </c>
      <c r="AA136" s="3554"/>
      <c r="AB136" s="3555">
        <f>L136/'Student Enrollment BRS VIII '!J658</f>
        <v>0.36074335847530636</v>
      </c>
    </row>
    <row r="137" spans="1:28" s="3151" customFormat="1" ht="13.8" thickBot="1">
      <c r="A137" s="3154"/>
      <c r="B137" s="3169"/>
      <c r="C137" s="3169"/>
      <c r="D137" s="3169"/>
      <c r="E137" s="3169"/>
      <c r="F137" s="2228"/>
      <c r="G137" s="3169"/>
      <c r="H137" s="3169"/>
      <c r="I137" s="3169"/>
      <c r="J137" s="3169"/>
      <c r="K137" s="3169"/>
      <c r="L137" s="3169"/>
      <c r="N137" s="1171"/>
      <c r="O137" s="1171"/>
      <c r="P137" s="1171"/>
      <c r="Q137" s="1171"/>
      <c r="R137" s="1171"/>
    </row>
    <row r="138" spans="1:28" s="3150" customFormat="1" ht="25.5" customHeight="1" thickBot="1">
      <c r="A138" s="3076" t="s">
        <v>256</v>
      </c>
      <c r="B138" s="3172" t="s">
        <v>2</v>
      </c>
      <c r="C138" s="3173"/>
      <c r="D138" s="3174" t="s">
        <v>3</v>
      </c>
      <c r="E138" s="3173"/>
      <c r="F138" s="3175" t="s">
        <v>4</v>
      </c>
      <c r="G138" s="3173"/>
      <c r="H138" s="3176" t="s">
        <v>5</v>
      </c>
      <c r="I138" s="3173"/>
      <c r="J138" s="3176" t="s">
        <v>6</v>
      </c>
      <c r="K138" s="3173"/>
      <c r="L138" s="3176" t="s">
        <v>7</v>
      </c>
      <c r="M138" s="3155"/>
      <c r="N138" s="1174" t="s">
        <v>33</v>
      </c>
      <c r="O138" s="1167"/>
      <c r="P138" s="1174" t="s">
        <v>34</v>
      </c>
      <c r="Q138" s="1167"/>
      <c r="R138" s="1175" t="s">
        <v>35</v>
      </c>
    </row>
    <row r="139" spans="1:28" s="3151" customFormat="1">
      <c r="A139" s="3158" t="s">
        <v>43</v>
      </c>
      <c r="B139" s="1346"/>
      <c r="C139" s="1168"/>
      <c r="D139" s="43"/>
      <c r="E139" s="1168"/>
      <c r="F139" s="43"/>
      <c r="G139" s="1168"/>
      <c r="H139" s="43"/>
      <c r="I139" s="1168"/>
      <c r="J139" s="43"/>
      <c r="K139" s="1168"/>
      <c r="L139" s="43"/>
      <c r="M139" s="25"/>
      <c r="N139" s="1165"/>
      <c r="O139" s="1170"/>
      <c r="P139" s="1165"/>
      <c r="Q139" s="1170"/>
      <c r="R139" s="1173"/>
    </row>
    <row r="140" spans="1:28" s="3151" customFormat="1">
      <c r="A140" s="3090" t="s">
        <v>44</v>
      </c>
      <c r="B140" s="3092">
        <v>2006.7085183143699</v>
      </c>
      <c r="C140" s="3091"/>
      <c r="D140" s="3022">
        <v>1912.4839467961795</v>
      </c>
      <c r="E140" s="3091"/>
      <c r="F140" s="3022">
        <v>2078.6244685385368</v>
      </c>
      <c r="G140" s="3091"/>
      <c r="H140" s="3022">
        <v>2535</v>
      </c>
      <c r="I140" s="3091"/>
      <c r="J140" s="3022">
        <v>2640</v>
      </c>
      <c r="K140" s="3091"/>
      <c r="L140" s="3022">
        <v>2542</v>
      </c>
      <c r="M140" s="3065"/>
      <c r="N140" s="962">
        <f>AVERAGE(B140:F140)</f>
        <v>1999.2723112163621</v>
      </c>
      <c r="O140" s="963"/>
      <c r="P140" s="962">
        <f>AVERAGE(H140:L140)</f>
        <v>2572.3333333333335</v>
      </c>
      <c r="Q140" s="963"/>
      <c r="R140" s="964">
        <f>P140-N140</f>
        <v>573.06102211697134</v>
      </c>
    </row>
    <row r="141" spans="1:28" s="3151" customFormat="1">
      <c r="A141" s="3090" t="s">
        <v>45</v>
      </c>
      <c r="B141" s="3092">
        <v>1520.5764847750895</v>
      </c>
      <c r="C141" s="3091"/>
      <c r="D141" s="3022">
        <v>1449.1781394593868</v>
      </c>
      <c r="E141" s="3091"/>
      <c r="F141" s="3022">
        <v>1575.0705489568563</v>
      </c>
      <c r="G141" s="3091"/>
      <c r="H141" s="3022">
        <v>1912</v>
      </c>
      <c r="I141" s="3091"/>
      <c r="J141" s="3022">
        <v>1974</v>
      </c>
      <c r="K141" s="3091"/>
      <c r="L141" s="3022">
        <v>1964</v>
      </c>
      <c r="M141" s="3068"/>
      <c r="N141" s="962">
        <f t="shared" ref="N141:N142" si="62">AVERAGE(B141:F141)</f>
        <v>1514.9417243971109</v>
      </c>
      <c r="O141" s="963"/>
      <c r="P141" s="962">
        <f t="shared" ref="P141:P142" si="63">AVERAGE(H141:L141)</f>
        <v>1950</v>
      </c>
      <c r="Q141" s="963"/>
      <c r="R141" s="964">
        <f t="shared" ref="R141:R142" si="64">P141-N141</f>
        <v>435.05827560288913</v>
      </c>
    </row>
    <row r="142" spans="1:28" s="3151" customFormat="1">
      <c r="A142" s="3090" t="s">
        <v>46</v>
      </c>
      <c r="B142" s="3092">
        <v>1364.5369066100652</v>
      </c>
      <c r="C142" s="3091"/>
      <c r="D142" s="3022">
        <v>1300.465366487191</v>
      </c>
      <c r="E142" s="3091"/>
      <c r="F142" s="3022">
        <v>1413.4388609094553</v>
      </c>
      <c r="G142" s="3091"/>
      <c r="H142" s="3022">
        <v>1742</v>
      </c>
      <c r="I142" s="3091"/>
      <c r="J142" s="3022">
        <v>1767</v>
      </c>
      <c r="K142" s="3091"/>
      <c r="L142" s="3022">
        <v>1736</v>
      </c>
      <c r="M142" s="3068"/>
      <c r="N142" s="962">
        <f t="shared" si="62"/>
        <v>1359.4803780022371</v>
      </c>
      <c r="O142" s="963"/>
      <c r="P142" s="962">
        <f t="shared" si="63"/>
        <v>1748.3333333333333</v>
      </c>
      <c r="Q142" s="963"/>
      <c r="R142" s="964">
        <f t="shared" si="64"/>
        <v>388.85295533109615</v>
      </c>
    </row>
    <row r="143" spans="1:28" s="3151" customFormat="1">
      <c r="A143" s="3152"/>
      <c r="B143" s="1341"/>
      <c r="C143" s="1347"/>
      <c r="D143" s="1342"/>
      <c r="E143" s="1347"/>
      <c r="F143" s="1342"/>
      <c r="G143" s="1347"/>
      <c r="H143" s="1342"/>
      <c r="I143" s="1347"/>
      <c r="J143" s="1342"/>
      <c r="K143" s="1347"/>
      <c r="L143" s="1342"/>
      <c r="M143" s="34"/>
      <c r="N143" s="1165"/>
      <c r="O143" s="1178"/>
      <c r="P143" s="1165"/>
      <c r="Q143" s="1178"/>
      <c r="R143" s="1173"/>
    </row>
    <row r="144" spans="1:28" s="3151" customFormat="1" ht="13.8" thickBot="1">
      <c r="A144" s="2480" t="s">
        <v>87</v>
      </c>
      <c r="B144" s="1341"/>
      <c r="C144" s="1347"/>
      <c r="D144" s="1342"/>
      <c r="E144" s="1347"/>
      <c r="F144" s="1342"/>
      <c r="G144" s="1347"/>
      <c r="H144" s="1342"/>
      <c r="I144" s="1347"/>
      <c r="J144" s="1342"/>
      <c r="K144" s="1347"/>
      <c r="L144" s="1342"/>
      <c r="M144" s="34"/>
      <c r="N144" s="1165"/>
      <c r="O144" s="1178"/>
      <c r="P144" s="1165"/>
      <c r="Q144" s="1178"/>
      <c r="R144" s="1173"/>
    </row>
    <row r="145" spans="1:28" s="3151" customFormat="1">
      <c r="A145" s="3152" t="s">
        <v>45</v>
      </c>
      <c r="B145" s="3229"/>
      <c r="C145" s="3230"/>
      <c r="D145" s="3231"/>
      <c r="E145" s="3230"/>
      <c r="F145" s="3231"/>
      <c r="G145" s="3230"/>
      <c r="H145" s="3231"/>
      <c r="I145" s="3230"/>
      <c r="J145" s="3231"/>
      <c r="K145" s="3230"/>
      <c r="L145" s="3231"/>
      <c r="M145" s="3068"/>
      <c r="N145" s="962"/>
      <c r="O145" s="963"/>
      <c r="P145" s="962"/>
      <c r="Q145" s="963"/>
      <c r="R145" s="964"/>
      <c r="T145" s="4483" t="s">
        <v>366</v>
      </c>
      <c r="U145" s="4484"/>
      <c r="V145" s="4484"/>
      <c r="W145" s="4484"/>
      <c r="X145" s="4484"/>
      <c r="Y145" s="4484"/>
      <c r="Z145" s="4484"/>
      <c r="AA145" s="4484"/>
      <c r="AB145" s="4485"/>
    </row>
    <row r="146" spans="1:28" s="3151" customFormat="1" ht="13.8" thickBot="1">
      <c r="A146" s="3153" t="s">
        <v>47</v>
      </c>
      <c r="B146" s="3232"/>
      <c r="C146" s="3233"/>
      <c r="D146" s="3234"/>
      <c r="E146" s="3233"/>
      <c r="F146" s="3234"/>
      <c r="G146" s="3233"/>
      <c r="H146" s="3234"/>
      <c r="I146" s="3233"/>
      <c r="J146" s="3234"/>
      <c r="K146" s="3233"/>
      <c r="L146" s="3234"/>
      <c r="M146" s="3071"/>
      <c r="N146" s="966"/>
      <c r="O146" s="967"/>
      <c r="P146" s="966"/>
      <c r="Q146" s="967"/>
      <c r="R146" s="968"/>
      <c r="T146" s="3052">
        <v>2007</v>
      </c>
      <c r="U146" s="3032"/>
      <c r="V146" s="3032">
        <v>2008</v>
      </c>
      <c r="W146" s="3032"/>
      <c r="X146" s="3032">
        <v>2009</v>
      </c>
      <c r="Y146" s="3032"/>
      <c r="Z146" s="3032">
        <v>2010</v>
      </c>
      <c r="AA146" s="3032"/>
      <c r="AB146" s="3545">
        <v>2011</v>
      </c>
    </row>
    <row r="147" spans="1:28" s="3151" customFormat="1" ht="14.4" thickTop="1" thickBot="1">
      <c r="A147" s="3156" t="s">
        <v>49</v>
      </c>
      <c r="B147" s="129">
        <f>SUM(B140:B146)</f>
        <v>4891.8219096995253</v>
      </c>
      <c r="C147" s="224"/>
      <c r="D147" s="130">
        <f>SUM(D140:D146)</f>
        <v>4662.1274527427577</v>
      </c>
      <c r="E147" s="224"/>
      <c r="F147" s="130">
        <f>SUM(F140:F146)</f>
        <v>5067.1338784048485</v>
      </c>
      <c r="G147" s="224"/>
      <c r="H147" s="130">
        <f>SUM(H140:H146)</f>
        <v>6189</v>
      </c>
      <c r="I147" s="224"/>
      <c r="J147" s="130">
        <f>SUM(J140:J146)</f>
        <v>6381</v>
      </c>
      <c r="K147" s="224"/>
      <c r="L147" s="130">
        <f>SUM(L140:L146)</f>
        <v>6242</v>
      </c>
      <c r="M147" s="3063"/>
      <c r="N147" s="969">
        <f t="shared" ref="N147" si="65">AVERAGE(B147:F147)</f>
        <v>4873.6944136157108</v>
      </c>
      <c r="O147" s="970"/>
      <c r="P147" s="969">
        <f t="shared" ref="P147" si="66">AVERAGE(H147:L147)</f>
        <v>6270.666666666667</v>
      </c>
      <c r="Q147" s="970"/>
      <c r="R147" s="971">
        <f t="shared" ref="R147" si="67">P147-N147</f>
        <v>1396.9722530509562</v>
      </c>
      <c r="T147" s="3553">
        <f>D147/'Student Enrollment BRS VIII '!B694</f>
        <v>0.36643303094732044</v>
      </c>
      <c r="U147" s="3554"/>
      <c r="V147" s="3554">
        <f>F147/'Student Enrollment BRS VIII '!D694</f>
        <v>0.39204130587271557</v>
      </c>
      <c r="W147" s="3554"/>
      <c r="X147" s="3554">
        <f>H147/'Student Enrollment BRS VIII '!F694</f>
        <v>0.3935270553824633</v>
      </c>
      <c r="Y147" s="3554"/>
      <c r="Z147" s="3554">
        <f>J147/'Student Enrollment BRS VIII '!H694</f>
        <v>0.34521748539277214</v>
      </c>
      <c r="AA147" s="3554"/>
      <c r="AB147" s="3555">
        <f>L147/'Student Enrollment BRS VIII '!J694</f>
        <v>0.3287858835923097</v>
      </c>
    </row>
    <row r="148" spans="1:28" s="1348" customFormat="1">
      <c r="A148" s="1350"/>
      <c r="B148" s="3169"/>
      <c r="C148" s="3169"/>
      <c r="D148" s="3169"/>
      <c r="E148" s="3169"/>
      <c r="F148" s="2228"/>
      <c r="G148" s="3169"/>
      <c r="H148" s="3169"/>
      <c r="I148" s="3169"/>
      <c r="J148" s="3169"/>
      <c r="K148" s="3169"/>
      <c r="L148" s="3169"/>
      <c r="N148" s="1171"/>
      <c r="O148" s="1171"/>
      <c r="P148" s="1171"/>
      <c r="Q148" s="1171"/>
      <c r="R148" s="1171"/>
    </row>
    <row r="149" spans="1:28">
      <c r="A149" s="28" t="s">
        <v>12</v>
      </c>
      <c r="B149" s="1166"/>
      <c r="C149" s="1344"/>
      <c r="D149" s="1344"/>
      <c r="E149" s="1344"/>
      <c r="F149" s="1176"/>
      <c r="G149" s="1344"/>
      <c r="H149" s="1344"/>
      <c r="I149" s="1344"/>
      <c r="J149" s="1344"/>
      <c r="L149" s="1344"/>
    </row>
    <row r="150" spans="1:28">
      <c r="A150" s="39" t="s">
        <v>128</v>
      </c>
      <c r="B150" s="1344"/>
      <c r="C150" s="1344"/>
      <c r="D150" s="1344"/>
      <c r="E150" s="1344"/>
      <c r="F150" s="1176"/>
      <c r="G150" s="1344"/>
      <c r="H150" s="1344"/>
      <c r="I150" s="1344"/>
      <c r="J150" s="1344"/>
      <c r="L150" s="1344"/>
    </row>
    <row r="151" spans="1:28">
      <c r="A151" s="39" t="s">
        <v>129</v>
      </c>
      <c r="B151" s="1344"/>
      <c r="C151" s="1344"/>
      <c r="D151" s="1344"/>
      <c r="E151" s="1344"/>
      <c r="F151" s="1176"/>
      <c r="G151" s="1344"/>
      <c r="H151" s="1344"/>
      <c r="I151" s="1344"/>
      <c r="J151" s="1344"/>
      <c r="L151" s="1344"/>
    </row>
    <row r="152" spans="1:28">
      <c r="A152" s="57" t="s">
        <v>130</v>
      </c>
      <c r="B152" s="1344"/>
      <c r="C152" s="1344"/>
      <c r="D152" s="1344"/>
      <c r="E152" s="1344"/>
      <c r="F152" s="1176"/>
      <c r="G152" s="1344"/>
      <c r="H152" s="1344"/>
      <c r="I152" s="1344"/>
      <c r="J152" s="1344"/>
      <c r="L152" s="1344"/>
    </row>
    <row r="153" spans="1:28">
      <c r="A153" s="1400" t="s">
        <v>131</v>
      </c>
      <c r="B153" s="1344"/>
      <c r="C153" s="1344"/>
      <c r="D153" s="1344"/>
      <c r="E153" s="1344"/>
      <c r="F153" s="1176"/>
      <c r="G153" s="1344"/>
      <c r="H153" s="1344"/>
      <c r="I153" s="1344"/>
      <c r="J153" s="1344"/>
      <c r="L153" s="1344"/>
    </row>
    <row r="154" spans="1:28">
      <c r="A154" s="98" t="s">
        <v>159</v>
      </c>
      <c r="B154" s="1344"/>
      <c r="C154" s="1344"/>
      <c r="D154" s="1344"/>
      <c r="E154" s="1344"/>
      <c r="F154" s="1176"/>
      <c r="G154" s="1344"/>
      <c r="H154" s="1344"/>
      <c r="I154" s="1344"/>
      <c r="J154" s="1344"/>
      <c r="L154" s="1344"/>
    </row>
    <row r="155" spans="1:28">
      <c r="A155" s="57" t="s">
        <v>48</v>
      </c>
      <c r="B155" s="1344"/>
      <c r="C155" s="1344"/>
      <c r="D155" s="1344"/>
      <c r="E155" s="1344"/>
      <c r="F155" s="1176"/>
      <c r="G155" s="1344"/>
      <c r="H155" s="1344"/>
      <c r="I155" s="1344"/>
      <c r="J155" s="1344"/>
      <c r="L155" s="1344"/>
    </row>
    <row r="156" spans="1:28">
      <c r="A156" s="57" t="s">
        <v>51</v>
      </c>
      <c r="B156" s="1344"/>
      <c r="C156" s="1344"/>
      <c r="D156" s="1344"/>
      <c r="E156" s="1344"/>
      <c r="F156" s="1176"/>
      <c r="G156" s="1344"/>
      <c r="H156" s="1344"/>
      <c r="I156" s="1344"/>
      <c r="J156" s="1344"/>
      <c r="L156" s="1344"/>
    </row>
    <row r="157" spans="1:28">
      <c r="A157" s="57" t="s">
        <v>132</v>
      </c>
      <c r="B157" s="1344"/>
      <c r="C157" s="1344"/>
      <c r="D157" s="1344"/>
      <c r="E157" s="1344"/>
      <c r="F157" s="1176"/>
      <c r="G157" s="1344"/>
      <c r="H157" s="1344"/>
      <c r="I157" s="1344"/>
      <c r="J157" s="1344"/>
      <c r="L157" s="1344"/>
    </row>
    <row r="158" spans="1:28">
      <c r="A158" s="96"/>
      <c r="B158" s="1344"/>
      <c r="C158" s="1344"/>
      <c r="D158" s="1344"/>
      <c r="E158" s="1344"/>
      <c r="F158" s="1176"/>
      <c r="G158" s="1344"/>
      <c r="H158" s="1344"/>
      <c r="I158" s="1344"/>
      <c r="J158" s="1344"/>
      <c r="L158" s="1344"/>
    </row>
    <row r="159" spans="1:28">
      <c r="A159" s="101" t="s">
        <v>133</v>
      </c>
      <c r="B159" s="1344"/>
      <c r="C159" s="1344"/>
      <c r="D159" s="1344"/>
      <c r="E159" s="1344"/>
      <c r="F159" s="1176"/>
      <c r="G159" s="1344"/>
      <c r="H159" s="1344"/>
      <c r="I159" s="1344"/>
      <c r="J159" s="1344"/>
      <c r="L159" s="1344"/>
    </row>
    <row r="160" spans="1:28">
      <c r="B160" s="1344"/>
      <c r="C160" s="1344"/>
      <c r="D160" s="1344"/>
      <c r="E160" s="1344"/>
      <c r="F160" s="1176"/>
      <c r="G160" s="1344"/>
      <c r="H160" s="1344"/>
      <c r="I160" s="1344"/>
      <c r="J160" s="1344"/>
      <c r="L160" s="1344"/>
    </row>
    <row r="161" spans="1:12">
      <c r="A161" s="11" t="s">
        <v>86</v>
      </c>
      <c r="B161" s="1344"/>
      <c r="C161" s="1344"/>
      <c r="D161" s="1344"/>
      <c r="E161" s="1344"/>
      <c r="F161" s="1176"/>
      <c r="G161" s="1344"/>
      <c r="H161" s="1344"/>
      <c r="I161" s="1344"/>
      <c r="J161" s="1344"/>
      <c r="L161" s="1344"/>
    </row>
    <row r="162" spans="1:12">
      <c r="B162" s="1344"/>
      <c r="C162" s="1344"/>
      <c r="D162" s="1344"/>
      <c r="E162" s="1344"/>
      <c r="F162" s="1176"/>
      <c r="G162" s="1344"/>
      <c r="H162" s="1344"/>
      <c r="I162" s="1344"/>
      <c r="J162" s="1344"/>
      <c r="L162" s="1344"/>
    </row>
    <row r="163" spans="1:12">
      <c r="A163" s="11" t="s">
        <v>134</v>
      </c>
      <c r="B163" s="1344"/>
      <c r="C163" s="1344"/>
      <c r="D163" s="1344"/>
      <c r="E163" s="1344"/>
      <c r="F163" s="1176"/>
      <c r="G163" s="1344"/>
      <c r="H163" s="1344"/>
      <c r="I163" s="1344"/>
      <c r="J163" s="1344"/>
      <c r="L163" s="1344"/>
    </row>
    <row r="164" spans="1:12">
      <c r="A164" s="107" t="s">
        <v>160</v>
      </c>
      <c r="B164" s="1344"/>
      <c r="C164" s="1344"/>
      <c r="D164" s="1344"/>
      <c r="E164" s="1344"/>
      <c r="F164" s="1176"/>
      <c r="G164" s="1344"/>
      <c r="H164" s="1344"/>
      <c r="I164" s="1344"/>
      <c r="J164" s="1344"/>
      <c r="L164" s="1344"/>
    </row>
    <row r="165" spans="1:12">
      <c r="A165" s="108" t="s">
        <v>135</v>
      </c>
      <c r="B165" s="1344"/>
      <c r="C165" s="1344"/>
      <c r="D165" s="1344"/>
      <c r="E165" s="1344"/>
      <c r="F165" s="1176"/>
      <c r="G165" s="1344"/>
      <c r="H165" s="1344"/>
      <c r="I165" s="1344"/>
      <c r="J165" s="1344"/>
      <c r="L165" s="1344"/>
    </row>
    <row r="166" spans="1:12">
      <c r="A166" s="107" t="s">
        <v>160</v>
      </c>
      <c r="B166" s="1344"/>
      <c r="C166" s="1344"/>
      <c r="D166" s="1344"/>
      <c r="E166" s="1344"/>
      <c r="F166" s="1176"/>
      <c r="G166" s="1344"/>
      <c r="H166" s="1344"/>
      <c r="I166" s="1344"/>
      <c r="J166" s="1344"/>
      <c r="L166" s="1344"/>
    </row>
    <row r="167" spans="1:12">
      <c r="A167" s="108" t="s">
        <v>136</v>
      </c>
      <c r="B167" s="1344"/>
      <c r="C167" s="1344"/>
      <c r="D167" s="1344"/>
      <c r="E167" s="1344"/>
      <c r="F167" s="1176"/>
      <c r="G167" s="1344"/>
      <c r="H167" s="1344"/>
      <c r="I167" s="1344"/>
      <c r="J167" s="1344"/>
      <c r="L167" s="1344"/>
    </row>
    <row r="168" spans="1:12">
      <c r="A168" s="107" t="s">
        <v>160</v>
      </c>
      <c r="B168" s="1344"/>
      <c r="C168" s="1344"/>
      <c r="D168" s="1344"/>
      <c r="E168" s="1344"/>
      <c r="F168" s="1176"/>
      <c r="G168" s="1344"/>
      <c r="H168" s="1344"/>
      <c r="I168" s="1344"/>
      <c r="J168" s="1344"/>
      <c r="L168" s="1344"/>
    </row>
    <row r="169" spans="1:12">
      <c r="B169" s="1344"/>
      <c r="C169" s="1344"/>
      <c r="D169" s="1344"/>
      <c r="E169" s="1344"/>
      <c r="F169" s="1176"/>
      <c r="G169" s="1344"/>
      <c r="H169" s="1344"/>
      <c r="I169" s="1344"/>
      <c r="J169" s="1344"/>
      <c r="L169" s="1344"/>
    </row>
    <row r="170" spans="1:12">
      <c r="A170" s="11" t="s">
        <v>87</v>
      </c>
      <c r="B170" s="1344"/>
      <c r="C170" s="1344"/>
      <c r="D170" s="1344"/>
      <c r="E170" s="1344"/>
      <c r="F170" s="1176"/>
      <c r="G170" s="1344"/>
      <c r="H170" s="1344"/>
      <c r="I170" s="1344"/>
      <c r="J170" s="1344"/>
      <c r="L170" s="1344"/>
    </row>
    <row r="171" spans="1:12">
      <c r="B171" s="1344"/>
      <c r="C171" s="1344"/>
      <c r="D171" s="1344"/>
      <c r="E171" s="1344"/>
      <c r="F171" s="1176"/>
      <c r="G171" s="1344"/>
      <c r="H171" s="1344"/>
      <c r="I171" s="1344"/>
      <c r="J171" s="1344"/>
      <c r="L171" s="1344"/>
    </row>
    <row r="172" spans="1:12">
      <c r="A172" s="11" t="s">
        <v>137</v>
      </c>
      <c r="B172" s="1344"/>
      <c r="C172" s="1344"/>
      <c r="D172" s="1344"/>
      <c r="E172" s="1344"/>
      <c r="F172" s="1176"/>
      <c r="G172" s="1344"/>
      <c r="H172" s="1344"/>
      <c r="I172" s="1344"/>
      <c r="J172" s="1344"/>
      <c r="L172" s="1344"/>
    </row>
    <row r="173" spans="1:12">
      <c r="A173" s="107" t="s">
        <v>160</v>
      </c>
      <c r="B173" s="1344"/>
      <c r="C173" s="1344"/>
      <c r="D173" s="1344"/>
      <c r="E173" s="1344"/>
      <c r="F173" s="1176"/>
      <c r="G173" s="1344"/>
      <c r="H173" s="1344"/>
      <c r="I173" s="1344"/>
      <c r="J173" s="1344"/>
      <c r="L173" s="1344"/>
    </row>
    <row r="174" spans="1:12">
      <c r="A174" s="108" t="s">
        <v>138</v>
      </c>
    </row>
    <row r="175" spans="1:12">
      <c r="A175" s="107" t="s">
        <v>160</v>
      </c>
    </row>
  </sheetData>
  <mergeCells count="16">
    <mergeCell ref="T145:AB145"/>
    <mergeCell ref="T90:AB90"/>
    <mergeCell ref="T101:AB101"/>
    <mergeCell ref="T112:AB112"/>
    <mergeCell ref="T123:AB123"/>
    <mergeCell ref="T134:AB134"/>
    <mergeCell ref="T35:AB35"/>
    <mergeCell ref="T46:AB46"/>
    <mergeCell ref="T57:AB57"/>
    <mergeCell ref="T68:AB68"/>
    <mergeCell ref="T79:AB79"/>
    <mergeCell ref="A2:R2"/>
    <mergeCell ref="A3:R3"/>
    <mergeCell ref="A4:R4"/>
    <mergeCell ref="A1:R1"/>
    <mergeCell ref="T24:AB24"/>
  </mergeCells>
  <printOptions horizontalCentered="1"/>
  <pageMargins left="0.22" right="0.34" top="0.75" bottom="0.75" header="0.3" footer="0.3"/>
  <pageSetup paperSize="5" scale="65" orientation="landscape" r:id="rId1"/>
  <headerFooter alignWithMargins="0">
    <oddFooter>&amp;LHouse Ways and Means Cmte Amendment 1001 2-14-13&amp;R&amp;D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5"/>
  <sheetViews>
    <sheetView topLeftCell="A38" zoomScaleNormal="100" workbookViewId="0">
      <selection activeCell="A89" sqref="A89:R89"/>
    </sheetView>
  </sheetViews>
  <sheetFormatPr defaultColWidth="9.109375" defaultRowHeight="13.2"/>
  <cols>
    <col min="1" max="1" width="41.5546875" style="11" customWidth="1"/>
    <col min="2" max="2" width="10.6640625" style="2228" customWidth="1"/>
    <col min="3" max="3" width="1.6640625" style="2228" customWidth="1"/>
    <col min="4" max="4" width="10.6640625" style="2228" customWidth="1"/>
    <col min="5" max="5" width="1.6640625" style="2228" customWidth="1"/>
    <col min="6" max="6" width="10.6640625" style="2228" customWidth="1"/>
    <col min="7" max="7" width="1.6640625" style="2228" customWidth="1"/>
    <col min="8" max="8" width="10.6640625" style="2228" customWidth="1"/>
    <col min="9" max="9" width="1.6640625" style="2228" customWidth="1"/>
    <col min="10" max="10" width="10.6640625" style="2228" customWidth="1"/>
    <col min="11" max="11" width="1.6640625" style="2228" customWidth="1"/>
    <col min="12" max="12" width="10.6640625" style="2228" customWidth="1"/>
    <col min="13" max="13" width="1.6640625" style="2972" customWidth="1"/>
    <col min="14" max="14" width="9.109375" style="2972"/>
    <col min="15" max="15" width="1.6640625" style="2972" customWidth="1"/>
    <col min="16" max="16" width="9.109375" style="2972"/>
    <col min="17" max="17" width="1.6640625" style="2972" customWidth="1"/>
    <col min="18" max="18" width="9.109375" style="2972"/>
    <col min="19" max="16384" width="9.109375" style="1"/>
  </cols>
  <sheetData>
    <row r="1" spans="1:20">
      <c r="A1" s="4479" t="s">
        <v>72</v>
      </c>
      <c r="B1" s="4479"/>
      <c r="C1" s="4479"/>
      <c r="D1" s="4479"/>
      <c r="E1" s="4479"/>
      <c r="F1" s="4479"/>
      <c r="G1" s="4479"/>
      <c r="H1" s="4479"/>
      <c r="I1" s="4479"/>
      <c r="J1" s="4479"/>
      <c r="K1" s="4479"/>
      <c r="L1" s="4479"/>
      <c r="M1" s="4479"/>
      <c r="N1" s="4479"/>
      <c r="O1" s="4479"/>
      <c r="P1" s="4479"/>
      <c r="Q1" s="4479"/>
      <c r="R1" s="4479"/>
    </row>
    <row r="2" spans="1:20">
      <c r="A2" s="4480" t="s">
        <v>52</v>
      </c>
      <c r="B2" s="4480"/>
      <c r="C2" s="4480"/>
      <c r="D2" s="4480"/>
      <c r="E2" s="4480"/>
      <c r="F2" s="4480"/>
      <c r="G2" s="4480"/>
      <c r="H2" s="4480"/>
      <c r="I2" s="4480"/>
      <c r="J2" s="4480"/>
      <c r="K2" s="4480"/>
      <c r="L2" s="4480"/>
      <c r="M2" s="4480"/>
      <c r="N2" s="4480"/>
      <c r="O2" s="4480"/>
      <c r="P2" s="4480"/>
      <c r="Q2" s="4480"/>
      <c r="R2" s="4480"/>
    </row>
    <row r="3" spans="1:20">
      <c r="A3" s="4481" t="s">
        <v>0</v>
      </c>
      <c r="B3" s="4481"/>
      <c r="C3" s="4481"/>
      <c r="D3" s="4481"/>
      <c r="E3" s="4481"/>
      <c r="F3" s="4481"/>
      <c r="G3" s="4481"/>
      <c r="H3" s="4481"/>
      <c r="I3" s="4481"/>
      <c r="J3" s="4481"/>
      <c r="K3" s="4481"/>
      <c r="L3" s="4481"/>
      <c r="M3" s="4481"/>
      <c r="N3" s="4481"/>
      <c r="O3" s="4481"/>
      <c r="P3" s="4481"/>
      <c r="Q3" s="4481"/>
      <c r="R3" s="4481"/>
    </row>
    <row r="4" spans="1:20">
      <c r="A4" s="4481" t="s">
        <v>53</v>
      </c>
      <c r="B4" s="4481"/>
      <c r="C4" s="4481"/>
      <c r="D4" s="4481"/>
      <c r="E4" s="4481"/>
      <c r="F4" s="4481"/>
      <c r="G4" s="4481"/>
      <c r="H4" s="4481"/>
      <c r="I4" s="4481"/>
      <c r="J4" s="4481"/>
      <c r="K4" s="4481"/>
      <c r="L4" s="4481"/>
      <c r="M4" s="4481"/>
      <c r="N4" s="4481"/>
      <c r="O4" s="4481"/>
      <c r="P4" s="4481"/>
      <c r="Q4" s="4481"/>
      <c r="R4" s="4481"/>
    </row>
    <row r="5" spans="1:20" ht="13.8" thickBot="1">
      <c r="A5" s="52" t="s">
        <v>1</v>
      </c>
      <c r="B5" s="3215"/>
      <c r="C5" s="3215"/>
      <c r="D5" s="3215"/>
      <c r="E5" s="3215"/>
      <c r="F5" s="3215"/>
      <c r="G5" s="3215"/>
      <c r="H5" s="3215"/>
      <c r="I5" s="3215"/>
      <c r="J5" s="3215"/>
    </row>
    <row r="6" spans="1:20" s="95" customFormat="1" ht="40.200000000000003" thickBot="1">
      <c r="A6" s="2970" t="s">
        <v>245</v>
      </c>
      <c r="B6" s="3168" t="s">
        <v>111</v>
      </c>
      <c r="C6" s="2851"/>
      <c r="D6" s="3168" t="s">
        <v>112</v>
      </c>
      <c r="E6" s="2848"/>
      <c r="F6" s="3168" t="s">
        <v>113</v>
      </c>
      <c r="G6" s="2848"/>
      <c r="H6" s="2845" t="s">
        <v>114</v>
      </c>
      <c r="I6" s="2848"/>
      <c r="J6" s="2845" t="s">
        <v>115</v>
      </c>
      <c r="K6" s="2848"/>
      <c r="L6" s="2845" t="s">
        <v>116</v>
      </c>
      <c r="M6" s="2847"/>
      <c r="N6" s="2852" t="s">
        <v>33</v>
      </c>
      <c r="O6" s="2847"/>
      <c r="P6" s="2852" t="s">
        <v>34</v>
      </c>
      <c r="Q6" s="2847"/>
      <c r="R6" s="2850" t="s">
        <v>35</v>
      </c>
      <c r="T6" s="3246"/>
    </row>
    <row r="7" spans="1:20" s="95" customFormat="1">
      <c r="A7" s="3059" t="s">
        <v>43</v>
      </c>
      <c r="B7" s="106"/>
      <c r="C7" s="2992"/>
      <c r="D7" s="106"/>
      <c r="E7" s="2993"/>
      <c r="F7" s="106"/>
      <c r="G7" s="2993"/>
      <c r="H7" s="2994"/>
      <c r="I7" s="2993"/>
      <c r="J7" s="2994"/>
      <c r="K7" s="2993"/>
      <c r="L7" s="2994"/>
      <c r="M7" s="3210"/>
      <c r="N7" s="3002"/>
      <c r="O7" s="2993"/>
      <c r="P7" s="2995"/>
      <c r="Q7" s="2993"/>
      <c r="R7" s="2996"/>
    </row>
    <row r="8" spans="1:20">
      <c r="A8" s="3034" t="s">
        <v>83</v>
      </c>
      <c r="B8" s="2884"/>
      <c r="C8" s="3216"/>
      <c r="D8" s="3752"/>
      <c r="E8" s="3217"/>
      <c r="F8" s="3752"/>
      <c r="G8" s="3217"/>
      <c r="H8" s="3752"/>
      <c r="I8" s="3217"/>
      <c r="J8" s="3752"/>
      <c r="K8" s="3217"/>
      <c r="L8" s="3752"/>
      <c r="M8" s="3211"/>
      <c r="N8" s="3003"/>
      <c r="O8" s="2989"/>
      <c r="P8" s="2990"/>
      <c r="Q8" s="2989"/>
      <c r="R8" s="2991"/>
    </row>
    <row r="9" spans="1:20" ht="39.6">
      <c r="A9" s="3074" t="s">
        <v>89</v>
      </c>
      <c r="B9" s="3000">
        <f>B35+B61</f>
        <v>7309</v>
      </c>
      <c r="C9" s="3218"/>
      <c r="D9" s="3219">
        <f>D35+D61</f>
        <v>7451</v>
      </c>
      <c r="E9" s="3220"/>
      <c r="F9" s="3000">
        <f>F35+F61</f>
        <v>7721</v>
      </c>
      <c r="G9" s="3220"/>
      <c r="H9" s="3000">
        <f>H35+H61</f>
        <v>9017</v>
      </c>
      <c r="I9" s="3220"/>
      <c r="J9" s="3000">
        <f>J35+J61</f>
        <v>15327</v>
      </c>
      <c r="K9" s="3220"/>
      <c r="L9" s="3000">
        <f>L35+L61</f>
        <v>19260</v>
      </c>
      <c r="M9" s="3211"/>
      <c r="N9" s="3003">
        <f t="shared" ref="N9:N27" si="0">AVERAGE(B9,D9,F9)</f>
        <v>7493.666666666667</v>
      </c>
      <c r="O9" s="2989"/>
      <c r="P9" s="2990">
        <f t="shared" ref="P9:P27" si="1">AVERAGE(H9,J9,L9)</f>
        <v>14534.666666666666</v>
      </c>
      <c r="Q9" s="2989"/>
      <c r="R9" s="2991">
        <f>P9-N9</f>
        <v>7040.9999999999991</v>
      </c>
    </row>
    <row r="10" spans="1:20" ht="39.6">
      <c r="A10" s="2997" t="s">
        <v>90</v>
      </c>
      <c r="B10" s="3000">
        <f>B36+B62</f>
        <v>3352</v>
      </c>
      <c r="C10" s="3218"/>
      <c r="D10" s="3219">
        <f>D36+D62</f>
        <v>3478</v>
      </c>
      <c r="E10" s="3220"/>
      <c r="F10" s="3000">
        <f t="shared" ref="F10" si="2">F36+F62</f>
        <v>3533</v>
      </c>
      <c r="G10" s="3220"/>
      <c r="H10" s="3000">
        <f t="shared" ref="H10" si="3">H36+H62</f>
        <v>4193</v>
      </c>
      <c r="I10" s="3220"/>
      <c r="J10" s="3000">
        <f t="shared" ref="J10" si="4">J36+J62</f>
        <v>6725</v>
      </c>
      <c r="K10" s="3220"/>
      <c r="L10" s="3000">
        <f t="shared" ref="L10" si="5">L36+L62</f>
        <v>7352</v>
      </c>
      <c r="M10" s="3211"/>
      <c r="N10" s="3003">
        <f t="shared" si="0"/>
        <v>3454.3333333333335</v>
      </c>
      <c r="O10" s="2989"/>
      <c r="P10" s="2990">
        <f t="shared" si="1"/>
        <v>6090</v>
      </c>
      <c r="Q10" s="2989"/>
      <c r="R10" s="2991">
        <f t="shared" ref="R10:R27" si="6">P10-N10</f>
        <v>2635.6666666666665</v>
      </c>
    </row>
    <row r="11" spans="1:20" ht="39.6">
      <c r="A11" s="2997" t="s">
        <v>91</v>
      </c>
      <c r="B11" s="3000">
        <f>B37+B63</f>
        <v>1396</v>
      </c>
      <c r="C11" s="3218"/>
      <c r="D11" s="3219">
        <f>D37+D63</f>
        <v>1355</v>
      </c>
      <c r="E11" s="3220"/>
      <c r="F11" s="3000">
        <f t="shared" ref="F11" si="7">F37+F63</f>
        <v>1432</v>
      </c>
      <c r="G11" s="3220"/>
      <c r="H11" s="3000">
        <f t="shared" ref="H11" si="8">H37+H63</f>
        <v>1900</v>
      </c>
      <c r="I11" s="3220"/>
      <c r="J11" s="3000">
        <f t="shared" ref="J11" si="9">J37+J63</f>
        <v>3117</v>
      </c>
      <c r="K11" s="3220"/>
      <c r="L11" s="3000">
        <f t="shared" ref="L11" si="10">L37+L63</f>
        <v>2654</v>
      </c>
      <c r="M11" s="3211"/>
      <c r="N11" s="3003">
        <f t="shared" si="0"/>
        <v>1394.3333333333333</v>
      </c>
      <c r="O11" s="2989"/>
      <c r="P11" s="2990">
        <f t="shared" si="1"/>
        <v>2557</v>
      </c>
      <c r="Q11" s="2989"/>
      <c r="R11" s="2991">
        <f t="shared" si="6"/>
        <v>1162.6666666666667</v>
      </c>
      <c r="T11" s="3166"/>
    </row>
    <row r="12" spans="1:20" s="3010" customFormat="1" ht="10.8">
      <c r="A12" s="3004" t="s">
        <v>247</v>
      </c>
      <c r="B12" s="3005">
        <f>B10/B9</f>
        <v>0.45861266931180739</v>
      </c>
      <c r="C12" s="3011"/>
      <c r="D12" s="3012">
        <f>D10/D9</f>
        <v>0.46678298215004699</v>
      </c>
      <c r="E12" s="3013"/>
      <c r="F12" s="3005">
        <f>F10/F9</f>
        <v>0.45758321460950652</v>
      </c>
      <c r="G12" s="3013"/>
      <c r="H12" s="3005">
        <f>H10/H9</f>
        <v>0.4650105356548741</v>
      </c>
      <c r="I12" s="3013"/>
      <c r="J12" s="3005">
        <f>J10/J9</f>
        <v>0.43876818685978991</v>
      </c>
      <c r="K12" s="3013"/>
      <c r="L12" s="3005">
        <f>L10/L9</f>
        <v>0.38172377985462097</v>
      </c>
      <c r="M12" s="3212"/>
      <c r="N12" s="3255">
        <f>AVERAGE(B10:F10)/AVERAGE(B9:F9)</f>
        <v>0.46096703883279216</v>
      </c>
      <c r="O12" s="3006"/>
      <c r="P12" s="3253">
        <f>AVERAGE(H10:L10)/AVERAGE(H9:L9)</f>
        <v>0.41899825704063848</v>
      </c>
      <c r="Q12" s="3006"/>
      <c r="R12" s="3254">
        <f>P12-N12</f>
        <v>-4.1968781792153687E-2</v>
      </c>
    </row>
    <row r="13" spans="1:20" s="3010" customFormat="1" ht="21">
      <c r="A13" s="3004" t="s">
        <v>246</v>
      </c>
      <c r="B13" s="3005">
        <f>B11/B10</f>
        <v>0.41646778042959426</v>
      </c>
      <c r="C13" s="3011"/>
      <c r="D13" s="3012">
        <f>D11/D10</f>
        <v>0.38959171937895343</v>
      </c>
      <c r="E13" s="3013"/>
      <c r="F13" s="3005">
        <f>F11/F10</f>
        <v>0.40532125672233227</v>
      </c>
      <c r="G13" s="3013"/>
      <c r="H13" s="3005">
        <f>H11/H10</f>
        <v>0.45313617934652994</v>
      </c>
      <c r="I13" s="3013"/>
      <c r="J13" s="3005">
        <f>J11/J10</f>
        <v>0.46349442379182154</v>
      </c>
      <c r="K13" s="3013"/>
      <c r="L13" s="3005">
        <f>L11/L10</f>
        <v>0.36099020674646354</v>
      </c>
      <c r="M13" s="3212"/>
      <c r="N13" s="3255">
        <f>AVERAGE(B11:F11)/AVERAGE(B10:F10)</f>
        <v>0.40364759239602427</v>
      </c>
      <c r="O13" s="3006"/>
      <c r="P13" s="3253">
        <f>AVERAGE(H11:L11)/AVERAGE(H10:L10)</f>
        <v>0.41986863711001643</v>
      </c>
      <c r="Q13" s="3006"/>
      <c r="R13" s="3254">
        <f t="shared" ref="R13:R14" si="11">P13-N13</f>
        <v>1.6221044713992161E-2</v>
      </c>
    </row>
    <row r="14" spans="1:20" s="3010" customFormat="1" ht="10.8">
      <c r="A14" s="3004" t="s">
        <v>257</v>
      </c>
      <c r="B14" s="3005">
        <f>B11/B9</f>
        <v>0.19099740046517991</v>
      </c>
      <c r="C14" s="3011"/>
      <c r="D14" s="3012">
        <f>D11/D9</f>
        <v>0.18185478459267213</v>
      </c>
      <c r="E14" s="3013"/>
      <c r="F14" s="3005">
        <f>F11/F9</f>
        <v>0.18546820360056987</v>
      </c>
      <c r="G14" s="3013"/>
      <c r="H14" s="3005">
        <f>H11/H9</f>
        <v>0.210713097482533</v>
      </c>
      <c r="I14" s="3013"/>
      <c r="J14" s="3005">
        <f>J11/J9</f>
        <v>0.20336660794676062</v>
      </c>
      <c r="K14" s="3013"/>
      <c r="L14" s="3005">
        <f>L11/L9</f>
        <v>0.13779854620976117</v>
      </c>
      <c r="M14" s="3212"/>
      <c r="N14" s="3255">
        <f>AVERAGE(B11:F11)/AVERAGE(B9:F9)</f>
        <v>0.18606823539878117</v>
      </c>
      <c r="O14" s="3006"/>
      <c r="P14" s="3253">
        <f>AVERAGE(H11:L11)/AVERAGE(H9:L9)</f>
        <v>0.17592422713512523</v>
      </c>
      <c r="Q14" s="3006"/>
      <c r="R14" s="3254">
        <f t="shared" si="11"/>
        <v>-1.014400826365594E-2</v>
      </c>
    </row>
    <row r="15" spans="1:20" s="3165" customFormat="1">
      <c r="A15" s="2997"/>
      <c r="B15" s="3000"/>
      <c r="C15" s="3218"/>
      <c r="D15" s="3219"/>
      <c r="E15" s="3220"/>
      <c r="F15" s="3000"/>
      <c r="G15" s="3220"/>
      <c r="H15" s="3000"/>
      <c r="I15" s="3220"/>
      <c r="J15" s="3000"/>
      <c r="K15" s="3220"/>
      <c r="L15" s="3000"/>
      <c r="M15" s="3211"/>
      <c r="N15" s="3003"/>
      <c r="O15" s="2989"/>
      <c r="P15" s="2990"/>
      <c r="Q15" s="2989"/>
      <c r="R15" s="2991"/>
    </row>
    <row r="16" spans="1:20">
      <c r="A16" s="2998" t="s">
        <v>84</v>
      </c>
      <c r="B16" s="3000"/>
      <c r="C16" s="3218"/>
      <c r="D16" s="3752"/>
      <c r="E16" s="3217"/>
      <c r="F16" s="3752"/>
      <c r="G16" s="3217"/>
      <c r="H16" s="3752"/>
      <c r="I16" s="3217"/>
      <c r="J16" s="3752"/>
      <c r="K16" s="3217"/>
      <c r="L16" s="3752"/>
      <c r="M16" s="3211"/>
      <c r="N16" s="3003"/>
      <c r="O16" s="2989"/>
      <c r="P16" s="2990"/>
      <c r="Q16" s="2989"/>
      <c r="R16" s="2991"/>
    </row>
    <row r="17" spans="1:20" ht="39.6">
      <c r="A17" s="3074" t="s">
        <v>92</v>
      </c>
      <c r="B17" s="3000">
        <f>B43+B69</f>
        <v>4539</v>
      </c>
      <c r="C17" s="3218"/>
      <c r="D17" s="3219">
        <f>D43+D69</f>
        <v>4530</v>
      </c>
      <c r="E17" s="3220"/>
      <c r="F17" s="3000">
        <f>F43+F69</f>
        <v>4420</v>
      </c>
      <c r="G17" s="3220"/>
      <c r="H17" s="3000">
        <f>H43+H69</f>
        <v>5409</v>
      </c>
      <c r="I17" s="3220"/>
      <c r="J17" s="3000">
        <f>J43+J69</f>
        <v>8965</v>
      </c>
      <c r="K17" s="3220"/>
      <c r="L17" s="3000">
        <f>L43+L69</f>
        <v>11470</v>
      </c>
      <c r="M17" s="3211"/>
      <c r="N17" s="3003">
        <f t="shared" si="0"/>
        <v>4496.333333333333</v>
      </c>
      <c r="O17" s="2989"/>
      <c r="P17" s="2990">
        <f t="shared" si="1"/>
        <v>8614.6666666666661</v>
      </c>
      <c r="Q17" s="2989"/>
      <c r="R17" s="2991">
        <f t="shared" si="6"/>
        <v>4118.333333333333</v>
      </c>
    </row>
    <row r="18" spans="1:20" ht="39.6">
      <c r="A18" s="2997" t="s">
        <v>90</v>
      </c>
      <c r="B18" s="3000">
        <f t="shared" ref="B18:D19" si="12">B44+B70</f>
        <v>1839</v>
      </c>
      <c r="C18" s="3218"/>
      <c r="D18" s="3219">
        <f t="shared" si="12"/>
        <v>2198</v>
      </c>
      <c r="E18" s="3220"/>
      <c r="F18" s="3000">
        <f t="shared" ref="F18" si="13">F44+F70</f>
        <v>2056</v>
      </c>
      <c r="G18" s="3220"/>
      <c r="H18" s="3000">
        <f t="shared" ref="H18" si="14">H44+H70</f>
        <v>2506</v>
      </c>
      <c r="I18" s="3220"/>
      <c r="J18" s="3000">
        <f t="shared" ref="J18" si="15">J44+J70</f>
        <v>3774</v>
      </c>
      <c r="K18" s="3220"/>
      <c r="L18" s="3000">
        <f t="shared" ref="L18" si="16">L44+L70</f>
        <v>4441</v>
      </c>
      <c r="M18" s="3211"/>
      <c r="N18" s="3003">
        <f t="shared" si="0"/>
        <v>2031</v>
      </c>
      <c r="O18" s="2989"/>
      <c r="P18" s="2990">
        <f t="shared" si="1"/>
        <v>3573.6666666666665</v>
      </c>
      <c r="Q18" s="2989"/>
      <c r="R18" s="2991">
        <f t="shared" si="6"/>
        <v>1542.6666666666665</v>
      </c>
    </row>
    <row r="19" spans="1:20" ht="39.6">
      <c r="A19" s="2997" t="s">
        <v>93</v>
      </c>
      <c r="B19" s="3000">
        <f t="shared" si="12"/>
        <v>1255</v>
      </c>
      <c r="C19" s="3218"/>
      <c r="D19" s="3219">
        <f t="shared" si="12"/>
        <v>1334</v>
      </c>
      <c r="E19" s="3220"/>
      <c r="F19" s="3000">
        <f t="shared" ref="F19" si="17">F45+F71</f>
        <v>1244</v>
      </c>
      <c r="G19" s="3220"/>
      <c r="H19" s="3000">
        <f t="shared" ref="H19" si="18">H45+H71</f>
        <v>1488</v>
      </c>
      <c r="I19" s="3220"/>
      <c r="J19" s="3000">
        <f t="shared" ref="J19" si="19">J45+J71</f>
        <v>2292</v>
      </c>
      <c r="K19" s="3220"/>
      <c r="L19" s="3000">
        <f t="shared" ref="L19" si="20">L45+L71</f>
        <v>2270</v>
      </c>
      <c r="M19" s="3211"/>
      <c r="N19" s="3003">
        <f t="shared" si="0"/>
        <v>1277.6666666666667</v>
      </c>
      <c r="O19" s="2989"/>
      <c r="P19" s="2990">
        <f t="shared" si="1"/>
        <v>2016.6666666666667</v>
      </c>
      <c r="Q19" s="2989"/>
      <c r="R19" s="2991">
        <f t="shared" si="6"/>
        <v>739</v>
      </c>
      <c r="T19" s="3166"/>
    </row>
    <row r="20" spans="1:20" s="3010" customFormat="1" ht="10.8">
      <c r="A20" s="3004" t="s">
        <v>248</v>
      </c>
      <c r="B20" s="3005">
        <f>B18/B17</f>
        <v>0.40515532055518838</v>
      </c>
      <c r="C20" s="3011"/>
      <c r="D20" s="3012">
        <f>D18/D17</f>
        <v>0.48520971302428256</v>
      </c>
      <c r="E20" s="3013"/>
      <c r="F20" s="3005">
        <f>F18/F17</f>
        <v>0.46515837104072399</v>
      </c>
      <c r="G20" s="3013"/>
      <c r="H20" s="3005">
        <f>H18/H17</f>
        <v>0.46330190423368461</v>
      </c>
      <c r="I20" s="3013"/>
      <c r="J20" s="3005">
        <f>J18/J17</f>
        <v>0.42097044060234245</v>
      </c>
      <c r="K20" s="3013"/>
      <c r="L20" s="3005">
        <f>L18/L17</f>
        <v>0.38718395815170009</v>
      </c>
      <c r="M20" s="3212"/>
      <c r="N20" s="3255">
        <f>AVERAGE(B18:F18)/AVERAGE(B17:F17)</f>
        <v>0.45170138631477502</v>
      </c>
      <c r="O20" s="3006"/>
      <c r="P20" s="3253">
        <f>AVERAGE(H18:L18)/AVERAGE(H17:L17)</f>
        <v>0.41483516483516486</v>
      </c>
      <c r="Q20" s="3006"/>
      <c r="R20" s="3254">
        <f>P20-N20</f>
        <v>-3.6866221479610162E-2</v>
      </c>
    </row>
    <row r="21" spans="1:20" s="3010" customFormat="1" ht="21">
      <c r="A21" s="3004" t="s">
        <v>249</v>
      </c>
      <c r="B21" s="3005">
        <f>B19/B18</f>
        <v>0.68243610657966292</v>
      </c>
      <c r="C21" s="3011"/>
      <c r="D21" s="3012">
        <f>D19/D18</f>
        <v>0.60691537761601455</v>
      </c>
      <c r="E21" s="3013"/>
      <c r="F21" s="3005">
        <f>F19/F18</f>
        <v>0.60505836575875482</v>
      </c>
      <c r="G21" s="3013"/>
      <c r="H21" s="3005">
        <f>H19/H18</f>
        <v>0.59377494014365517</v>
      </c>
      <c r="I21" s="3013"/>
      <c r="J21" s="3005">
        <f>J19/J18</f>
        <v>0.60731319554848961</v>
      </c>
      <c r="K21" s="3013"/>
      <c r="L21" s="3005">
        <f>L19/L18</f>
        <v>0.51114613825714927</v>
      </c>
      <c r="M21" s="3212"/>
      <c r="N21" s="3255">
        <f>AVERAGE(B19:F19)/AVERAGE(B18:F18)</f>
        <v>0.62908255375020516</v>
      </c>
      <c r="O21" s="3006"/>
      <c r="P21" s="3253">
        <f>AVERAGE(H19:L19)/AVERAGE(H18:L18)</f>
        <v>0.5643130305008861</v>
      </c>
      <c r="Q21" s="3006"/>
      <c r="R21" s="3254">
        <f t="shared" ref="R21:R22" si="21">P21-N21</f>
        <v>-6.4769523249319061E-2</v>
      </c>
    </row>
    <row r="22" spans="1:20" s="3010" customFormat="1" ht="10.8">
      <c r="A22" s="3004" t="s">
        <v>258</v>
      </c>
      <c r="B22" s="3005">
        <f>B19/B17</f>
        <v>0.27649261951971799</v>
      </c>
      <c r="C22" s="3011"/>
      <c r="D22" s="3012">
        <f>D19/D17</f>
        <v>0.29448123620309052</v>
      </c>
      <c r="E22" s="3013"/>
      <c r="F22" s="3005">
        <f>F19/F17</f>
        <v>0.28144796380090498</v>
      </c>
      <c r="G22" s="3013"/>
      <c r="H22" s="3005">
        <f>H19/H17</f>
        <v>0.27509706045479754</v>
      </c>
      <c r="I22" s="3013"/>
      <c r="J22" s="3005">
        <f>J19/J17</f>
        <v>0.25566090351366427</v>
      </c>
      <c r="K22" s="3013"/>
      <c r="L22" s="3005">
        <f>L19/L17</f>
        <v>0.1979075850043592</v>
      </c>
      <c r="M22" s="3212"/>
      <c r="N22" s="3255">
        <f>AVERAGE(B19:F19)/AVERAGE(B17:F17)</f>
        <v>0.28415746163540667</v>
      </c>
      <c r="O22" s="3006"/>
      <c r="P22" s="3253">
        <f>AVERAGE(H19:L19)/AVERAGE(H17:L17)</f>
        <v>0.23409688902646653</v>
      </c>
      <c r="Q22" s="3006"/>
      <c r="R22" s="3254">
        <f t="shared" si="21"/>
        <v>-5.0060572608940146E-2</v>
      </c>
    </row>
    <row r="23" spans="1:20" s="3165" customFormat="1">
      <c r="A23" s="2997"/>
      <c r="B23" s="3000"/>
      <c r="C23" s="3218"/>
      <c r="D23" s="3219"/>
      <c r="E23" s="3220"/>
      <c r="F23" s="3000"/>
      <c r="G23" s="3220"/>
      <c r="H23" s="3000"/>
      <c r="I23" s="3220"/>
      <c r="J23" s="3000"/>
      <c r="K23" s="3220"/>
      <c r="L23" s="3000"/>
      <c r="M23" s="3211"/>
      <c r="N23" s="3003"/>
      <c r="O23" s="2989"/>
      <c r="P23" s="2990"/>
      <c r="Q23" s="2989"/>
      <c r="R23" s="2991"/>
    </row>
    <row r="24" spans="1:20">
      <c r="A24" s="3034" t="s">
        <v>94</v>
      </c>
      <c r="B24" s="3000"/>
      <c r="C24" s="3218"/>
      <c r="D24" s="3752"/>
      <c r="E24" s="3217"/>
      <c r="F24" s="3752"/>
      <c r="G24" s="3217"/>
      <c r="H24" s="3752"/>
      <c r="I24" s="3217"/>
      <c r="J24" s="3752"/>
      <c r="K24" s="3217"/>
      <c r="L24" s="3752"/>
      <c r="M24" s="3211"/>
      <c r="N24" s="3003"/>
      <c r="O24" s="2989"/>
      <c r="P24" s="2990"/>
      <c r="Q24" s="2989"/>
      <c r="R24" s="2991"/>
    </row>
    <row r="25" spans="1:20" ht="41.25" customHeight="1">
      <c r="A25" s="3074" t="s">
        <v>95</v>
      </c>
      <c r="B25" s="3000">
        <f>B51+B77</f>
        <v>4009</v>
      </c>
      <c r="C25" s="3218"/>
      <c r="D25" s="3219">
        <f>D51+D77</f>
        <v>4006</v>
      </c>
      <c r="E25" s="3220"/>
      <c r="F25" s="3000">
        <f>F51+F77</f>
        <v>3961</v>
      </c>
      <c r="G25" s="3220"/>
      <c r="H25" s="3000">
        <f>H51+H77</f>
        <v>4916</v>
      </c>
      <c r="I25" s="3220"/>
      <c r="J25" s="3000">
        <f>J51+J77</f>
        <v>8244</v>
      </c>
      <c r="K25" s="3220"/>
      <c r="L25" s="3000">
        <f>L51+L77</f>
        <v>10816</v>
      </c>
      <c r="M25" s="3211"/>
      <c r="N25" s="3003">
        <f t="shared" si="0"/>
        <v>3992</v>
      </c>
      <c r="O25" s="2989"/>
      <c r="P25" s="2990">
        <f t="shared" si="1"/>
        <v>7992</v>
      </c>
      <c r="Q25" s="2989"/>
      <c r="R25" s="2991">
        <f t="shared" si="6"/>
        <v>4000</v>
      </c>
    </row>
    <row r="26" spans="1:20" ht="39.6">
      <c r="A26" s="2997" t="s">
        <v>90</v>
      </c>
      <c r="B26" s="3000">
        <f t="shared" ref="B26:D27" si="22">B52+B78</f>
        <v>1578</v>
      </c>
      <c r="C26" s="3218"/>
      <c r="D26" s="3219">
        <f t="shared" si="22"/>
        <v>1623</v>
      </c>
      <c r="E26" s="3220"/>
      <c r="F26" s="3000">
        <f t="shared" ref="F26" si="23">F52+F78</f>
        <v>1642</v>
      </c>
      <c r="G26" s="3220"/>
      <c r="H26" s="3000">
        <f t="shared" ref="H26" si="24">H52+H78</f>
        <v>2109</v>
      </c>
      <c r="I26" s="3220"/>
      <c r="J26" s="3000">
        <f t="shared" ref="J26" si="25">J52+J78</f>
        <v>3155</v>
      </c>
      <c r="K26" s="3220"/>
      <c r="L26" s="3000">
        <f t="shared" ref="L26" si="26">L52+L78</f>
        <v>3551</v>
      </c>
      <c r="M26" s="3211"/>
      <c r="N26" s="3003">
        <f t="shared" si="0"/>
        <v>1614.3333333333333</v>
      </c>
      <c r="O26" s="2989"/>
      <c r="P26" s="2990">
        <f t="shared" si="1"/>
        <v>2938.3333333333335</v>
      </c>
      <c r="Q26" s="2989"/>
      <c r="R26" s="2991">
        <f t="shared" si="6"/>
        <v>1324.0000000000002</v>
      </c>
    </row>
    <row r="27" spans="1:20" s="6" customFormat="1" ht="41.25" customHeight="1">
      <c r="A27" s="3015" t="s">
        <v>162</v>
      </c>
      <c r="B27" s="3000">
        <f t="shared" si="22"/>
        <v>441</v>
      </c>
      <c r="C27" s="3221"/>
      <c r="D27" s="3222">
        <f t="shared" si="22"/>
        <v>435</v>
      </c>
      <c r="E27" s="3223"/>
      <c r="F27" s="3224">
        <f t="shared" ref="F27" si="27">F53+F79</f>
        <v>477</v>
      </c>
      <c r="G27" s="3223"/>
      <c r="H27" s="3224">
        <f t="shared" ref="H27" si="28">H53+H79</f>
        <v>623</v>
      </c>
      <c r="I27" s="3223"/>
      <c r="J27" s="3224">
        <f t="shared" ref="J27" si="29">J53+J79</f>
        <v>976</v>
      </c>
      <c r="K27" s="3223"/>
      <c r="L27" s="3224">
        <f t="shared" ref="L27" si="30">L53+L79</f>
        <v>747</v>
      </c>
      <c r="M27" s="3213"/>
      <c r="N27" s="3003">
        <f t="shared" si="0"/>
        <v>451</v>
      </c>
      <c r="O27" s="3014"/>
      <c r="P27" s="2990">
        <f t="shared" si="1"/>
        <v>782</v>
      </c>
      <c r="Q27" s="3014"/>
      <c r="R27" s="2991">
        <f t="shared" si="6"/>
        <v>331</v>
      </c>
      <c r="T27" s="3247"/>
    </row>
    <row r="28" spans="1:20" s="3010" customFormat="1" ht="10.8">
      <c r="A28" s="3004" t="s">
        <v>250</v>
      </c>
      <c r="B28" s="3005">
        <f>B26/B25</f>
        <v>0.39361436767273633</v>
      </c>
      <c r="C28" s="3011"/>
      <c r="D28" s="3012">
        <f>D26/D25</f>
        <v>0.40514228657014478</v>
      </c>
      <c r="E28" s="3013"/>
      <c r="F28" s="3005">
        <f>F26/F25</f>
        <v>0.41454178237818734</v>
      </c>
      <c r="G28" s="3013"/>
      <c r="H28" s="3005">
        <f>H26/H25</f>
        <v>0.42900732302685107</v>
      </c>
      <c r="I28" s="3013"/>
      <c r="J28" s="3005">
        <f>J26/J25</f>
        <v>0.38270257156720039</v>
      </c>
      <c r="K28" s="3013"/>
      <c r="L28" s="3005">
        <f>L26/L25</f>
        <v>0.32830991124260356</v>
      </c>
      <c r="M28" s="3212"/>
      <c r="N28" s="3255">
        <f>AVERAGE(B26:F26)/AVERAGE(B25:F25)</f>
        <v>0.40439211756847027</v>
      </c>
      <c r="O28" s="3006"/>
      <c r="P28" s="3253">
        <f>AVERAGE(H26:L26)/AVERAGE(H25:L25)</f>
        <v>0.36765932599265932</v>
      </c>
      <c r="Q28" s="3006"/>
      <c r="R28" s="3254">
        <f>P28-N28</f>
        <v>-3.6732791575810941E-2</v>
      </c>
    </row>
    <row r="29" spans="1:20" s="3010" customFormat="1" ht="21">
      <c r="A29" s="3004" t="s">
        <v>251</v>
      </c>
      <c r="B29" s="3005">
        <f>B27/B26</f>
        <v>0.27946768060836502</v>
      </c>
      <c r="C29" s="3011"/>
      <c r="D29" s="3012">
        <f>D27/D26</f>
        <v>0.26802218114602588</v>
      </c>
      <c r="E29" s="3013"/>
      <c r="F29" s="3005">
        <f>F27/F26</f>
        <v>0.29049939098660171</v>
      </c>
      <c r="G29" s="3013"/>
      <c r="H29" s="3005">
        <f>H27/H26</f>
        <v>0.29540066382171648</v>
      </c>
      <c r="I29" s="3013"/>
      <c r="J29" s="3005">
        <f>J27/J26</f>
        <v>0.30935023771790809</v>
      </c>
      <c r="K29" s="3013"/>
      <c r="L29" s="3005">
        <f>L27/L26</f>
        <v>0.21036327794987328</v>
      </c>
      <c r="M29" s="3212"/>
      <c r="N29" s="3255">
        <f>AVERAGE(B27:F27)/AVERAGE(B26:F26)</f>
        <v>0.27937228990295271</v>
      </c>
      <c r="O29" s="3006"/>
      <c r="P29" s="3253">
        <f>AVERAGE(H27:L27)/AVERAGE(H26:L26)</f>
        <v>0.26613726602382304</v>
      </c>
      <c r="Q29" s="3006"/>
      <c r="R29" s="3254">
        <f t="shared" ref="R29:R30" si="31">P29-N29</f>
        <v>-1.323502387912967E-2</v>
      </c>
    </row>
    <row r="30" spans="1:20" s="3010" customFormat="1" ht="11.25" customHeight="1" thickBot="1">
      <c r="A30" s="3016" t="s">
        <v>259</v>
      </c>
      <c r="B30" s="3017">
        <f>B27/B25</f>
        <v>0.11000249438762784</v>
      </c>
      <c r="C30" s="3018"/>
      <c r="D30" s="3019">
        <f>D27/D25</f>
        <v>0.10858711932101847</v>
      </c>
      <c r="E30" s="3020"/>
      <c r="F30" s="3017">
        <f>F27/F25</f>
        <v>0.1204241353193638</v>
      </c>
      <c r="G30" s="3020"/>
      <c r="H30" s="3017">
        <f>H27/H25</f>
        <v>0.12672904800650936</v>
      </c>
      <c r="I30" s="3020"/>
      <c r="J30" s="3017">
        <f>J27/J25</f>
        <v>0.11838913148956817</v>
      </c>
      <c r="K30" s="3020"/>
      <c r="L30" s="3017">
        <f>L27/L25</f>
        <v>6.9064349112426038E-2</v>
      </c>
      <c r="M30" s="3214"/>
      <c r="N30" s="3256">
        <f>AVERAGE(B27:F27)/AVERAGE(B25:F25)</f>
        <v>0.11297595190380762</v>
      </c>
      <c r="O30" s="3021"/>
      <c r="P30" s="3257">
        <f>AVERAGE(H27:L27)/AVERAGE(H25:L25)</f>
        <v>9.7847847847847849E-2</v>
      </c>
      <c r="Q30" s="3021"/>
      <c r="R30" s="3258">
        <f t="shared" si="31"/>
        <v>-1.5128104055959768E-2</v>
      </c>
    </row>
    <row r="31" spans="1:20" ht="13.8" thickBot="1">
      <c r="A31" s="1"/>
    </row>
    <row r="32" spans="1:20" s="2969" customFormat="1" ht="40.200000000000003" thickBot="1">
      <c r="A32" s="2970" t="s">
        <v>244</v>
      </c>
      <c r="B32" s="3168" t="s">
        <v>111</v>
      </c>
      <c r="C32" s="2851"/>
      <c r="D32" s="3168" t="s">
        <v>112</v>
      </c>
      <c r="E32" s="2848"/>
      <c r="F32" s="3168" t="s">
        <v>113</v>
      </c>
      <c r="G32" s="2848"/>
      <c r="H32" s="2845" t="s">
        <v>114</v>
      </c>
      <c r="I32" s="2848"/>
      <c r="J32" s="2845" t="s">
        <v>115</v>
      </c>
      <c r="K32" s="2848"/>
      <c r="L32" s="2845" t="s">
        <v>116</v>
      </c>
      <c r="M32" s="2847"/>
      <c r="N32" s="3001" t="s">
        <v>33</v>
      </c>
      <c r="O32" s="2847"/>
      <c r="P32" s="2852" t="s">
        <v>34</v>
      </c>
      <c r="Q32" s="2847"/>
      <c r="R32" s="2850" t="s">
        <v>35</v>
      </c>
    </row>
    <row r="33" spans="1:18" s="2969" customFormat="1">
      <c r="A33" s="2983" t="s">
        <v>43</v>
      </c>
      <c r="B33" s="106"/>
      <c r="C33" s="2992"/>
      <c r="D33" s="106"/>
      <c r="E33" s="2993"/>
      <c r="F33" s="106"/>
      <c r="G33" s="2993"/>
      <c r="H33" s="2994"/>
      <c r="I33" s="2993"/>
      <c r="J33" s="2994"/>
      <c r="K33" s="2993"/>
      <c r="L33" s="2994"/>
      <c r="M33" s="2993"/>
      <c r="N33" s="3002"/>
      <c r="O33" s="2993"/>
      <c r="P33" s="2995"/>
      <c r="Q33" s="2993"/>
      <c r="R33" s="2996"/>
    </row>
    <row r="34" spans="1:18" s="2967" customFormat="1">
      <c r="A34" s="2974" t="s">
        <v>83</v>
      </c>
      <c r="B34" s="2884"/>
      <c r="C34" s="3216"/>
      <c r="D34" s="2884"/>
      <c r="E34" s="3217"/>
      <c r="F34" s="2884"/>
      <c r="G34" s="3217"/>
      <c r="H34" s="2884"/>
      <c r="I34" s="3217"/>
      <c r="J34" s="2884"/>
      <c r="K34" s="3217"/>
      <c r="L34" s="2884"/>
      <c r="M34" s="2989"/>
      <c r="N34" s="3003"/>
      <c r="O34" s="2989"/>
      <c r="P34" s="2990"/>
      <c r="Q34" s="2989"/>
      <c r="R34" s="2991"/>
    </row>
    <row r="35" spans="1:18" s="2967" customFormat="1" ht="39.6">
      <c r="A35" s="2987" t="s">
        <v>89</v>
      </c>
      <c r="B35" s="2999">
        <v>6659</v>
      </c>
      <c r="C35" s="3225"/>
      <c r="D35" s="3226">
        <v>6862</v>
      </c>
      <c r="E35" s="3227"/>
      <c r="F35" s="2999">
        <v>7130</v>
      </c>
      <c r="G35" s="3227"/>
      <c r="H35" s="2999">
        <v>8416</v>
      </c>
      <c r="I35" s="3227"/>
      <c r="J35" s="2999">
        <v>14592</v>
      </c>
      <c r="K35" s="3227"/>
      <c r="L35" s="2999">
        <v>18289</v>
      </c>
      <c r="M35" s="2989"/>
      <c r="N35" s="3003">
        <f>AVERAGE(B35:F35)</f>
        <v>6883.666666666667</v>
      </c>
      <c r="O35" s="2989"/>
      <c r="P35" s="2990">
        <f>AVERAGE(H35:L35)</f>
        <v>13765.666666666666</v>
      </c>
      <c r="Q35" s="2989"/>
      <c r="R35" s="2991">
        <f>P35-N35</f>
        <v>6881.9999999999991</v>
      </c>
    </row>
    <row r="36" spans="1:18" s="2967" customFormat="1" ht="39.6">
      <c r="A36" s="2997" t="s">
        <v>90</v>
      </c>
      <c r="B36" s="2999">
        <v>2833</v>
      </c>
      <c r="C36" s="3225"/>
      <c r="D36" s="3226">
        <v>3022</v>
      </c>
      <c r="E36" s="3227"/>
      <c r="F36" s="2999">
        <v>3057</v>
      </c>
      <c r="G36" s="3227"/>
      <c r="H36" s="2999">
        <v>3700</v>
      </c>
      <c r="I36" s="3227"/>
      <c r="J36" s="2999">
        <v>6136</v>
      </c>
      <c r="K36" s="3227"/>
      <c r="L36" s="2999">
        <v>6618</v>
      </c>
      <c r="M36" s="2989"/>
      <c r="N36" s="3003">
        <f>AVERAGE(B36:F36)</f>
        <v>2970.6666666666665</v>
      </c>
      <c r="O36" s="2989"/>
      <c r="P36" s="2990">
        <f>AVERAGE(H36:L36)</f>
        <v>5484.666666666667</v>
      </c>
      <c r="Q36" s="2989"/>
      <c r="R36" s="2991">
        <f>P36-N36</f>
        <v>2514.0000000000005</v>
      </c>
    </row>
    <row r="37" spans="1:18" s="2967" customFormat="1" ht="39.6">
      <c r="A37" s="2997" t="s">
        <v>91</v>
      </c>
      <c r="B37" s="2999">
        <v>1173</v>
      </c>
      <c r="C37" s="3225"/>
      <c r="D37" s="3226">
        <v>1139</v>
      </c>
      <c r="E37" s="3227"/>
      <c r="F37" s="2999">
        <v>1214</v>
      </c>
      <c r="G37" s="3227"/>
      <c r="H37" s="2999">
        <v>1680</v>
      </c>
      <c r="I37" s="3227"/>
      <c r="J37" s="2999">
        <v>2888</v>
      </c>
      <c r="K37" s="3227"/>
      <c r="L37" s="2999">
        <v>2472</v>
      </c>
      <c r="M37" s="2989"/>
      <c r="N37" s="3003">
        <f>AVERAGE(B37:F37)</f>
        <v>1175.3333333333333</v>
      </c>
      <c r="O37" s="2989"/>
      <c r="P37" s="2990">
        <f>AVERAGE(H37:L37)</f>
        <v>2346.6666666666665</v>
      </c>
      <c r="Q37" s="2989"/>
      <c r="R37" s="2991">
        <f>P37-N37</f>
        <v>1171.3333333333333</v>
      </c>
    </row>
    <row r="38" spans="1:18" s="3010" customFormat="1" ht="10.8">
      <c r="A38" s="3004" t="s">
        <v>247</v>
      </c>
      <c r="B38" s="3005">
        <f>B36/B35</f>
        <v>0.42543925514341491</v>
      </c>
      <c r="C38" s="3011"/>
      <c r="D38" s="3012">
        <f>D36/D35</f>
        <v>0.44039638589332558</v>
      </c>
      <c r="E38" s="3013"/>
      <c r="F38" s="3005">
        <f>F36/F35</f>
        <v>0.4287517531556802</v>
      </c>
      <c r="G38" s="3013"/>
      <c r="H38" s="3005">
        <f>H36/H35</f>
        <v>0.43963878326996197</v>
      </c>
      <c r="I38" s="3013"/>
      <c r="J38" s="3005">
        <f>J36/J35</f>
        <v>0.4205043859649123</v>
      </c>
      <c r="K38" s="3013"/>
      <c r="L38" s="3005">
        <f>L36/L35</f>
        <v>0.36185685384657446</v>
      </c>
      <c r="M38" s="3006"/>
      <c r="N38" s="3255">
        <f>AVERAGE(B36:F36)/AVERAGE(B35:F35)</f>
        <v>0.43155295143092343</v>
      </c>
      <c r="O38" s="3006"/>
      <c r="P38" s="3253">
        <f>AVERAGE(H36:L36)/AVERAGE(H35:L35)</f>
        <v>0.39843087875632616</v>
      </c>
      <c r="Q38" s="3006"/>
      <c r="R38" s="3254">
        <f>P38-N38</f>
        <v>-3.3122072674597269E-2</v>
      </c>
    </row>
    <row r="39" spans="1:18" s="3010" customFormat="1" ht="21">
      <c r="A39" s="3004" t="s">
        <v>246</v>
      </c>
      <c r="B39" s="3005">
        <f>B37/B36</f>
        <v>0.41404871161313095</v>
      </c>
      <c r="C39" s="3011"/>
      <c r="D39" s="3012">
        <f>D37/D36</f>
        <v>0.37690271343481141</v>
      </c>
      <c r="E39" s="3013"/>
      <c r="F39" s="3005">
        <f>F37/F36</f>
        <v>0.39712136081125288</v>
      </c>
      <c r="G39" s="3013"/>
      <c r="H39" s="3005">
        <f>H37/H36</f>
        <v>0.45405405405405408</v>
      </c>
      <c r="I39" s="3013"/>
      <c r="J39" s="3005">
        <f>J37/J36</f>
        <v>0.47066492829204692</v>
      </c>
      <c r="K39" s="3013"/>
      <c r="L39" s="3005">
        <f>L37/L36</f>
        <v>0.37352674524025387</v>
      </c>
      <c r="M39" s="3006"/>
      <c r="N39" s="3255">
        <f>AVERAGE(B37:F37)/AVERAGE(B36:F36)</f>
        <v>0.39564631956912027</v>
      </c>
      <c r="O39" s="3006"/>
      <c r="P39" s="3253">
        <f>AVERAGE(H37:L37)/AVERAGE(H36:L36)</f>
        <v>0.42785948705481947</v>
      </c>
      <c r="Q39" s="3006"/>
      <c r="R39" s="3254">
        <f t="shared" ref="R39:R40" si="32">P39-N39</f>
        <v>3.221316748569919E-2</v>
      </c>
    </row>
    <row r="40" spans="1:18" s="3010" customFormat="1" ht="10.8">
      <c r="A40" s="3004" t="s">
        <v>257</v>
      </c>
      <c r="B40" s="3005">
        <f>B37/B35</f>
        <v>0.17615257546178104</v>
      </c>
      <c r="C40" s="3011"/>
      <c r="D40" s="3012">
        <f>D37/D35</f>
        <v>0.16598659283007869</v>
      </c>
      <c r="E40" s="3013"/>
      <c r="F40" s="3005">
        <f>F37/F35</f>
        <v>0.17026647966339412</v>
      </c>
      <c r="G40" s="3013"/>
      <c r="H40" s="3005">
        <f>H37/H35</f>
        <v>0.19961977186311788</v>
      </c>
      <c r="I40" s="3013"/>
      <c r="J40" s="3005">
        <f>J37/J35</f>
        <v>0.19791666666666666</v>
      </c>
      <c r="K40" s="3013"/>
      <c r="L40" s="3005">
        <f>L37/L35</f>
        <v>0.13516321286018917</v>
      </c>
      <c r="M40" s="3006"/>
      <c r="N40" s="3255">
        <f>AVERAGE(B37:F37)/AVERAGE(B35:F35)</f>
        <v>0.17074233693283616</v>
      </c>
      <c r="O40" s="3006"/>
      <c r="P40" s="3253">
        <f>AVERAGE(H37:L37)/AVERAGE(H35:L35)</f>
        <v>0.17047243141148266</v>
      </c>
      <c r="Q40" s="3006"/>
      <c r="R40" s="3254">
        <f t="shared" si="32"/>
        <v>-2.6990552135350288E-4</v>
      </c>
    </row>
    <row r="41" spans="1:18" s="3010" customFormat="1" ht="10.8">
      <c r="A41" s="3004"/>
      <c r="B41" s="3005"/>
      <c r="C41" s="3011"/>
      <c r="D41" s="3012"/>
      <c r="E41" s="3013"/>
      <c r="F41" s="3005"/>
      <c r="G41" s="3013"/>
      <c r="H41" s="3005"/>
      <c r="I41" s="3013"/>
      <c r="J41" s="3005"/>
      <c r="K41" s="3013"/>
      <c r="L41" s="3005"/>
      <c r="M41" s="3006"/>
      <c r="N41" s="3007"/>
      <c r="O41" s="3006"/>
      <c r="P41" s="3008"/>
      <c r="Q41" s="3006"/>
      <c r="R41" s="3009"/>
    </row>
    <row r="42" spans="1:18" s="2967" customFormat="1">
      <c r="A42" s="2998" t="s">
        <v>84</v>
      </c>
      <c r="B42" s="3000"/>
      <c r="C42" s="3218"/>
      <c r="D42" s="3219"/>
      <c r="E42" s="3220"/>
      <c r="F42" s="3000"/>
      <c r="G42" s="3220"/>
      <c r="H42" s="3000"/>
      <c r="I42" s="3220"/>
      <c r="J42" s="3000"/>
      <c r="K42" s="3220"/>
      <c r="L42" s="3000"/>
      <c r="M42" s="2989"/>
      <c r="N42" s="3003"/>
      <c r="O42" s="2989"/>
      <c r="P42" s="2990"/>
      <c r="Q42" s="2989"/>
      <c r="R42" s="2991"/>
    </row>
    <row r="43" spans="1:18" s="2967" customFormat="1" ht="39.6">
      <c r="A43" s="2987" t="s">
        <v>92</v>
      </c>
      <c r="B43" s="2999">
        <v>4249</v>
      </c>
      <c r="C43" s="3225"/>
      <c r="D43" s="3226">
        <v>4139</v>
      </c>
      <c r="E43" s="3227"/>
      <c r="F43" s="2999">
        <v>3929</v>
      </c>
      <c r="G43" s="3227"/>
      <c r="H43" s="2999">
        <v>4942</v>
      </c>
      <c r="I43" s="3227"/>
      <c r="J43" s="2999">
        <v>8384</v>
      </c>
      <c r="K43" s="3227"/>
      <c r="L43" s="2999">
        <v>11017</v>
      </c>
      <c r="M43" s="2989"/>
      <c r="N43" s="3003">
        <f>AVERAGE(B43:F43)</f>
        <v>4105.666666666667</v>
      </c>
      <c r="O43" s="2989"/>
      <c r="P43" s="2990">
        <f>AVERAGE(H43:L43)</f>
        <v>8114.333333333333</v>
      </c>
      <c r="Q43" s="2989"/>
      <c r="R43" s="2991">
        <f>P43-N43</f>
        <v>4008.6666666666661</v>
      </c>
    </row>
    <row r="44" spans="1:18" s="2967" customFormat="1" ht="39.6">
      <c r="A44" s="2997" t="s">
        <v>90</v>
      </c>
      <c r="B44" s="2999">
        <v>1595</v>
      </c>
      <c r="C44" s="3225"/>
      <c r="D44" s="3226">
        <v>1873</v>
      </c>
      <c r="E44" s="3227"/>
      <c r="F44" s="2999">
        <v>1638</v>
      </c>
      <c r="G44" s="3227"/>
      <c r="H44" s="2999">
        <v>2110</v>
      </c>
      <c r="I44" s="3227"/>
      <c r="J44" s="2999">
        <v>3308</v>
      </c>
      <c r="K44" s="3227"/>
      <c r="L44" s="2999">
        <v>4076</v>
      </c>
      <c r="M44" s="2989"/>
      <c r="N44" s="3003">
        <f>AVERAGE(B44:F44)</f>
        <v>1702</v>
      </c>
      <c r="O44" s="2989"/>
      <c r="P44" s="2990">
        <f>AVERAGE(H44:L44)</f>
        <v>3164.6666666666665</v>
      </c>
      <c r="Q44" s="2989"/>
      <c r="R44" s="2991">
        <f>P44-N44</f>
        <v>1462.6666666666665</v>
      </c>
    </row>
    <row r="45" spans="1:18" s="2967" customFormat="1" ht="39.6">
      <c r="A45" s="2997" t="s">
        <v>93</v>
      </c>
      <c r="B45" s="2999">
        <v>1083</v>
      </c>
      <c r="C45" s="3225"/>
      <c r="D45" s="3226">
        <v>1099</v>
      </c>
      <c r="E45" s="3227"/>
      <c r="F45" s="2999">
        <v>947</v>
      </c>
      <c r="G45" s="3227"/>
      <c r="H45" s="2999">
        <v>1233</v>
      </c>
      <c r="I45" s="3227"/>
      <c r="J45" s="2999">
        <v>2032</v>
      </c>
      <c r="K45" s="3227"/>
      <c r="L45" s="2999">
        <v>2153</v>
      </c>
      <c r="M45" s="2989"/>
      <c r="N45" s="3003">
        <f>AVERAGE(B45:F45)</f>
        <v>1043</v>
      </c>
      <c r="O45" s="2989"/>
      <c r="P45" s="2990">
        <f>AVERAGE(H45:L45)</f>
        <v>1806</v>
      </c>
      <c r="Q45" s="2989"/>
      <c r="R45" s="2991">
        <f>P45-N45</f>
        <v>763</v>
      </c>
    </row>
    <row r="46" spans="1:18" s="3010" customFormat="1" ht="10.8">
      <c r="A46" s="3004" t="s">
        <v>248</v>
      </c>
      <c r="B46" s="3005">
        <f>B44/B43</f>
        <v>0.37538244292774769</v>
      </c>
      <c r="C46" s="3011"/>
      <c r="D46" s="3012">
        <f>D44/D43</f>
        <v>0.45252476443585404</v>
      </c>
      <c r="E46" s="3013"/>
      <c r="F46" s="3005">
        <f>F44/F43</f>
        <v>0.41689997454823108</v>
      </c>
      <c r="G46" s="3013"/>
      <c r="H46" s="3005">
        <f>H44/H43</f>
        <v>0.42695265074868477</v>
      </c>
      <c r="I46" s="3013"/>
      <c r="J46" s="3005">
        <f>J44/J43</f>
        <v>0.39456106870229007</v>
      </c>
      <c r="K46" s="3013"/>
      <c r="L46" s="3005">
        <f>L44/L43</f>
        <v>0.36997367704456746</v>
      </c>
      <c r="M46" s="3006"/>
      <c r="N46" s="3255">
        <f>AVERAGE(B44:F44)/AVERAGE(B43:F43)</f>
        <v>0.41454899732077616</v>
      </c>
      <c r="O46" s="3006"/>
      <c r="P46" s="3253">
        <f>AVERAGE(H44:L44)/AVERAGE(H43:L43)</f>
        <v>0.39000944830135975</v>
      </c>
      <c r="Q46" s="3006"/>
      <c r="R46" s="3254">
        <f>P46-N46</f>
        <v>-2.4539549019416407E-2</v>
      </c>
    </row>
    <row r="47" spans="1:18" s="3010" customFormat="1" ht="21">
      <c r="A47" s="3004" t="s">
        <v>249</v>
      </c>
      <c r="B47" s="3005">
        <f>B45/B44</f>
        <v>0.67899686520376179</v>
      </c>
      <c r="C47" s="3011"/>
      <c r="D47" s="3012">
        <f>D45/D44</f>
        <v>0.58675920982381202</v>
      </c>
      <c r="E47" s="3013"/>
      <c r="F47" s="3005">
        <f>F45/F44</f>
        <v>0.5781440781440782</v>
      </c>
      <c r="G47" s="3013"/>
      <c r="H47" s="3005">
        <f>H45/H44</f>
        <v>0.5843601895734597</v>
      </c>
      <c r="I47" s="3013"/>
      <c r="J47" s="3005">
        <f>J45/J44</f>
        <v>0.61426844014510273</v>
      </c>
      <c r="K47" s="3013"/>
      <c r="L47" s="3005">
        <f>L45/L44</f>
        <v>0.52821393523061821</v>
      </c>
      <c r="M47" s="3006"/>
      <c r="N47" s="3255">
        <f>AVERAGE(B45:F45)/AVERAGE(B44:F44)</f>
        <v>0.61280846063454764</v>
      </c>
      <c r="O47" s="3006"/>
      <c r="P47" s="3253">
        <f>AVERAGE(H45:L45)/AVERAGE(H44:L44)</f>
        <v>0.57067621655782608</v>
      </c>
      <c r="Q47" s="3006"/>
      <c r="R47" s="3254">
        <f t="shared" ref="R47:R48" si="33">P47-N47</f>
        <v>-4.2132244076721559E-2</v>
      </c>
    </row>
    <row r="48" spans="1:18" s="3010" customFormat="1" ht="10.8">
      <c r="A48" s="3004" t="s">
        <v>258</v>
      </c>
      <c r="B48" s="3005">
        <f>B45/B43</f>
        <v>0.25488350200047072</v>
      </c>
      <c r="C48" s="3011"/>
      <c r="D48" s="3012">
        <f>D45/D43</f>
        <v>0.26552307320608842</v>
      </c>
      <c r="E48" s="3013"/>
      <c r="F48" s="3005">
        <f>F45/F43</f>
        <v>0.2410282514634767</v>
      </c>
      <c r="G48" s="3013"/>
      <c r="H48" s="3005">
        <f>H45/H43</f>
        <v>0.24949413193039255</v>
      </c>
      <c r="I48" s="3013"/>
      <c r="J48" s="3005">
        <f>J45/J43</f>
        <v>0.24236641221374045</v>
      </c>
      <c r="K48" s="3013"/>
      <c r="L48" s="3005">
        <f>L45/L43</f>
        <v>0.19542525188345283</v>
      </c>
      <c r="M48" s="3006"/>
      <c r="N48" s="3255">
        <f>AVERAGE(B45:F45)/AVERAGE(B43:F43)</f>
        <v>0.25403913290574004</v>
      </c>
      <c r="O48" s="3006"/>
      <c r="P48" s="3253">
        <f>AVERAGE(H45:L45)/AVERAGE(H43:L43)</f>
        <v>0.22256911637842502</v>
      </c>
      <c r="Q48" s="3006"/>
      <c r="R48" s="3254">
        <f t="shared" si="33"/>
        <v>-3.1470016527315015E-2</v>
      </c>
    </row>
    <row r="49" spans="1:18" s="3010" customFormat="1" ht="10.8">
      <c r="A49" s="3004"/>
      <c r="B49" s="3005"/>
      <c r="C49" s="3011"/>
      <c r="D49" s="3012"/>
      <c r="E49" s="3013"/>
      <c r="F49" s="3005"/>
      <c r="G49" s="3013"/>
      <c r="H49" s="3005"/>
      <c r="I49" s="3013"/>
      <c r="J49" s="3005"/>
      <c r="K49" s="3013"/>
      <c r="L49" s="3005"/>
      <c r="M49" s="3006"/>
      <c r="N49" s="3007"/>
      <c r="O49" s="3006"/>
      <c r="P49" s="3008"/>
      <c r="Q49" s="3006"/>
      <c r="R49" s="3009"/>
    </row>
    <row r="50" spans="1:18" s="2967" customFormat="1">
      <c r="A50" s="2974" t="s">
        <v>94</v>
      </c>
      <c r="B50" s="2999"/>
      <c r="C50" s="3225"/>
      <c r="D50" s="3226"/>
      <c r="E50" s="3227"/>
      <c r="F50" s="2999"/>
      <c r="G50" s="3227"/>
      <c r="H50" s="2999"/>
      <c r="I50" s="3227"/>
      <c r="J50" s="2999"/>
      <c r="K50" s="3227"/>
      <c r="L50" s="2999"/>
      <c r="M50" s="2989"/>
      <c r="N50" s="3003"/>
      <c r="O50" s="2989"/>
      <c r="P50" s="2990"/>
      <c r="Q50" s="2989"/>
      <c r="R50" s="2991"/>
    </row>
    <row r="51" spans="1:18" s="2967" customFormat="1" ht="41.25" customHeight="1">
      <c r="A51" s="2987" t="s">
        <v>95</v>
      </c>
      <c r="B51" s="2999">
        <v>3560</v>
      </c>
      <c r="C51" s="3225"/>
      <c r="D51" s="3226">
        <v>3513</v>
      </c>
      <c r="E51" s="3227"/>
      <c r="F51" s="2999">
        <v>3434</v>
      </c>
      <c r="G51" s="3227"/>
      <c r="H51" s="2999">
        <v>4317</v>
      </c>
      <c r="I51" s="3227"/>
      <c r="J51" s="2999">
        <v>7380</v>
      </c>
      <c r="K51" s="3227"/>
      <c r="L51" s="2999">
        <v>9812</v>
      </c>
      <c r="M51" s="2989"/>
      <c r="N51" s="3003">
        <f>AVERAGE(B51:F51)</f>
        <v>3502.3333333333335</v>
      </c>
      <c r="O51" s="2989"/>
      <c r="P51" s="2990">
        <f>AVERAGE(H51:L51)</f>
        <v>7169.666666666667</v>
      </c>
      <c r="Q51" s="2989"/>
      <c r="R51" s="2991">
        <f>P51-N51</f>
        <v>3667.3333333333335</v>
      </c>
    </row>
    <row r="52" spans="1:18" s="2967" customFormat="1" ht="39.6">
      <c r="A52" s="2997" t="s">
        <v>90</v>
      </c>
      <c r="B52" s="2999">
        <v>1257</v>
      </c>
      <c r="C52" s="3225"/>
      <c r="D52" s="3226">
        <v>1367</v>
      </c>
      <c r="E52" s="3227"/>
      <c r="F52" s="2999">
        <v>1262</v>
      </c>
      <c r="G52" s="3227"/>
      <c r="H52" s="2999">
        <v>1652</v>
      </c>
      <c r="I52" s="3227"/>
      <c r="J52" s="2999">
        <v>2563</v>
      </c>
      <c r="K52" s="3227"/>
      <c r="L52" s="2999">
        <v>2930</v>
      </c>
      <c r="M52" s="2989"/>
      <c r="N52" s="3003">
        <f>AVERAGE(B52:F52)</f>
        <v>1295.3333333333333</v>
      </c>
      <c r="O52" s="2989"/>
      <c r="P52" s="2990">
        <f>AVERAGE(H52:L52)</f>
        <v>2381.6666666666665</v>
      </c>
      <c r="Q52" s="2989"/>
      <c r="R52" s="2991">
        <f>P52-N52</f>
        <v>1086.3333333333333</v>
      </c>
    </row>
    <row r="53" spans="1:18" s="2968" customFormat="1" ht="41.25" customHeight="1">
      <c r="A53" s="3015" t="s">
        <v>162</v>
      </c>
      <c r="B53" s="2999">
        <v>356</v>
      </c>
      <c r="C53" s="3225"/>
      <c r="D53" s="3226">
        <v>346</v>
      </c>
      <c r="E53" s="3227"/>
      <c r="F53" s="2999">
        <v>340</v>
      </c>
      <c r="G53" s="3227"/>
      <c r="H53" s="2999">
        <v>476</v>
      </c>
      <c r="I53" s="3227"/>
      <c r="J53" s="2999">
        <v>829</v>
      </c>
      <c r="K53" s="3227"/>
      <c r="L53" s="2999">
        <v>683</v>
      </c>
      <c r="M53" s="3014"/>
      <c r="N53" s="3003">
        <f>AVERAGE(B53:F53)</f>
        <v>347.33333333333331</v>
      </c>
      <c r="O53" s="2989"/>
      <c r="P53" s="2990">
        <f>AVERAGE(H53:L53)</f>
        <v>662.66666666666663</v>
      </c>
      <c r="Q53" s="2989"/>
      <c r="R53" s="2991">
        <f>P53-N53</f>
        <v>315.33333333333331</v>
      </c>
    </row>
    <row r="54" spans="1:18" s="3010" customFormat="1" ht="10.8">
      <c r="A54" s="3004" t="s">
        <v>250</v>
      </c>
      <c r="B54" s="3005">
        <f>B52/B51</f>
        <v>0.35308988764044946</v>
      </c>
      <c r="C54" s="3011"/>
      <c r="D54" s="3012">
        <f>D52/D51</f>
        <v>0.38912610304582979</v>
      </c>
      <c r="E54" s="3013"/>
      <c r="F54" s="3005">
        <f>F52/F51</f>
        <v>0.36750145602795575</v>
      </c>
      <c r="G54" s="3013"/>
      <c r="H54" s="3005">
        <f>H52/H51</f>
        <v>0.38267315265230484</v>
      </c>
      <c r="I54" s="3013"/>
      <c r="J54" s="3005">
        <f>J52/J51</f>
        <v>0.34728997289972902</v>
      </c>
      <c r="K54" s="3013"/>
      <c r="L54" s="3005">
        <f>L52/L51</f>
        <v>0.29861394211169995</v>
      </c>
      <c r="M54" s="3006"/>
      <c r="N54" s="3255">
        <f>AVERAGE(B52:F52)/AVERAGE(B51:F51)</f>
        <v>0.36984867231369561</v>
      </c>
      <c r="O54" s="3006"/>
      <c r="P54" s="3253">
        <f>AVERAGE(H52:L52)/AVERAGE(H51:L51)</f>
        <v>0.33218652657027287</v>
      </c>
      <c r="Q54" s="3006"/>
      <c r="R54" s="3254">
        <f>P54-N54</f>
        <v>-3.7662145743422748E-2</v>
      </c>
    </row>
    <row r="55" spans="1:18" s="3010" customFormat="1" ht="21">
      <c r="A55" s="3004" t="s">
        <v>251</v>
      </c>
      <c r="B55" s="3005">
        <f>B53/B52</f>
        <v>0.28321400159108989</v>
      </c>
      <c r="C55" s="3011"/>
      <c r="D55" s="3012">
        <f>D53/D52</f>
        <v>0.25310899780541329</v>
      </c>
      <c r="E55" s="3013"/>
      <c r="F55" s="3005">
        <f>F53/F52</f>
        <v>0.26941362916006339</v>
      </c>
      <c r="G55" s="3013"/>
      <c r="H55" s="3005">
        <f>H53/H52</f>
        <v>0.28813559322033899</v>
      </c>
      <c r="I55" s="3013"/>
      <c r="J55" s="3005">
        <f>J53/J52</f>
        <v>0.32344908310573545</v>
      </c>
      <c r="K55" s="3013"/>
      <c r="L55" s="3005">
        <f>L53/L52</f>
        <v>0.23310580204778156</v>
      </c>
      <c r="M55" s="3006"/>
      <c r="N55" s="3255">
        <f>AVERAGE(B53:F53)/AVERAGE(B52:F52)</f>
        <v>0.26814204837879568</v>
      </c>
      <c r="O55" s="3006"/>
      <c r="P55" s="3253">
        <f>AVERAGE(H53:L53)/AVERAGE(H52:L52)</f>
        <v>0.27823652904128759</v>
      </c>
      <c r="Q55" s="3006"/>
      <c r="R55" s="3254">
        <f>P55-N55</f>
        <v>1.0094480662491911E-2</v>
      </c>
    </row>
    <row r="56" spans="1:18" s="3010" customFormat="1" ht="11.25" customHeight="1" thickBot="1">
      <c r="A56" s="3016" t="s">
        <v>259</v>
      </c>
      <c r="B56" s="3017">
        <f>B53/B51</f>
        <v>0.1</v>
      </c>
      <c r="C56" s="3018"/>
      <c r="D56" s="3019">
        <f>D53/D51</f>
        <v>9.8491317961855965E-2</v>
      </c>
      <c r="E56" s="3020"/>
      <c r="F56" s="3017">
        <f>F53/F51</f>
        <v>9.9009900990099015E-2</v>
      </c>
      <c r="G56" s="3020"/>
      <c r="H56" s="3017">
        <f>H53/H51</f>
        <v>0.11026175584896919</v>
      </c>
      <c r="I56" s="3020"/>
      <c r="J56" s="3017">
        <f>J53/J51</f>
        <v>0.11233062330623306</v>
      </c>
      <c r="K56" s="3020"/>
      <c r="L56" s="3017">
        <f>L53/L51</f>
        <v>6.9608642478597632E-2</v>
      </c>
      <c r="M56" s="3021"/>
      <c r="N56" s="3256">
        <f>AVERAGE(B53:F53)/AVERAGE(B51:F51)</f>
        <v>9.9171980584372307E-2</v>
      </c>
      <c r="O56" s="3021"/>
      <c r="P56" s="3257">
        <f>AVERAGE(H53:L53)/AVERAGE(H51:L51)</f>
        <v>9.2426426147194193E-2</v>
      </c>
      <c r="Q56" s="3021"/>
      <c r="R56" s="3258">
        <f t="shared" ref="R56" si="34">P56-N56</f>
        <v>-6.745554437178114E-3</v>
      </c>
    </row>
    <row r="57" spans="1:18" s="3165" customFormat="1" ht="13.8" thickBot="1">
      <c r="B57" s="2228"/>
      <c r="C57" s="2228"/>
      <c r="D57" s="2228"/>
      <c r="E57" s="2228"/>
      <c r="F57" s="2228"/>
      <c r="G57" s="2228"/>
      <c r="H57" s="2228"/>
      <c r="I57" s="2228"/>
      <c r="J57" s="2228"/>
      <c r="K57" s="2228"/>
      <c r="L57" s="2228"/>
      <c r="M57" s="3166"/>
      <c r="N57" s="3166"/>
      <c r="O57" s="3166"/>
      <c r="P57" s="3166"/>
      <c r="Q57" s="3166"/>
      <c r="R57" s="3166"/>
    </row>
    <row r="58" spans="1:18" s="3164" customFormat="1" ht="40.200000000000003" thickBot="1">
      <c r="A58" s="3076" t="s">
        <v>256</v>
      </c>
      <c r="B58" s="3168" t="s">
        <v>111</v>
      </c>
      <c r="C58" s="2851"/>
      <c r="D58" s="3168" t="s">
        <v>112</v>
      </c>
      <c r="E58" s="2848"/>
      <c r="F58" s="3168" t="s">
        <v>113</v>
      </c>
      <c r="G58" s="2848"/>
      <c r="H58" s="2845" t="s">
        <v>114</v>
      </c>
      <c r="I58" s="2848"/>
      <c r="J58" s="2845" t="s">
        <v>115</v>
      </c>
      <c r="K58" s="2848"/>
      <c r="L58" s="2845" t="s">
        <v>116</v>
      </c>
      <c r="M58" s="2847"/>
      <c r="N58" s="3001" t="s">
        <v>33</v>
      </c>
      <c r="O58" s="2847"/>
      <c r="P58" s="2852" t="s">
        <v>34</v>
      </c>
      <c r="Q58" s="2847"/>
      <c r="R58" s="2850" t="s">
        <v>35</v>
      </c>
    </row>
    <row r="59" spans="1:18" s="3164" customFormat="1">
      <c r="A59" s="3059" t="s">
        <v>43</v>
      </c>
      <c r="B59" s="106"/>
      <c r="C59" s="2992"/>
      <c r="D59" s="106"/>
      <c r="E59" s="2993"/>
      <c r="F59" s="106"/>
      <c r="G59" s="2993"/>
      <c r="H59" s="2994"/>
      <c r="I59" s="2993"/>
      <c r="J59" s="2994"/>
      <c r="K59" s="2993"/>
      <c r="L59" s="2994"/>
      <c r="M59" s="2993"/>
      <c r="N59" s="3002"/>
      <c r="O59" s="2993"/>
      <c r="P59" s="2995"/>
      <c r="Q59" s="2993"/>
      <c r="R59" s="2996"/>
    </row>
    <row r="60" spans="1:18" s="3165" customFormat="1">
      <c r="A60" s="3034" t="s">
        <v>83</v>
      </c>
      <c r="B60" s="2884"/>
      <c r="C60" s="3216"/>
      <c r="D60" s="2884"/>
      <c r="E60" s="3217"/>
      <c r="F60" s="2884"/>
      <c r="G60" s="3217"/>
      <c r="H60" s="2884"/>
      <c r="I60" s="3217"/>
      <c r="J60" s="2884"/>
      <c r="K60" s="3217"/>
      <c r="L60" s="2884"/>
      <c r="M60" s="2989"/>
      <c r="N60" s="3003"/>
      <c r="O60" s="2989"/>
      <c r="P60" s="2990"/>
      <c r="Q60" s="2989"/>
      <c r="R60" s="2991"/>
    </row>
    <row r="61" spans="1:18" s="3165" customFormat="1" ht="39.6">
      <c r="A61" s="3074" t="s">
        <v>89</v>
      </c>
      <c r="B61" s="2999">
        <v>650</v>
      </c>
      <c r="C61" s="3225"/>
      <c r="D61" s="2999">
        <v>589</v>
      </c>
      <c r="E61" s="3225"/>
      <c r="F61" s="2999">
        <v>591</v>
      </c>
      <c r="G61" s="3227"/>
      <c r="H61" s="2999">
        <v>601</v>
      </c>
      <c r="I61" s="3227"/>
      <c r="J61" s="2999">
        <v>735</v>
      </c>
      <c r="K61" s="3227"/>
      <c r="L61" s="2999">
        <v>971</v>
      </c>
      <c r="M61" s="2989"/>
      <c r="N61" s="3003">
        <f>AVERAGE(B61:F61)</f>
        <v>610</v>
      </c>
      <c r="O61" s="2989"/>
      <c r="P61" s="2990">
        <f>AVERAGE(H61:L61)</f>
        <v>769</v>
      </c>
      <c r="Q61" s="2989"/>
      <c r="R61" s="2991">
        <f>P61-N61</f>
        <v>159</v>
      </c>
    </row>
    <row r="62" spans="1:18" s="3165" customFormat="1" ht="39.6">
      <c r="A62" s="2997" t="s">
        <v>90</v>
      </c>
      <c r="B62" s="2999">
        <v>519</v>
      </c>
      <c r="C62" s="3225"/>
      <c r="D62" s="2999">
        <v>456</v>
      </c>
      <c r="E62" s="3225"/>
      <c r="F62" s="2999">
        <v>476</v>
      </c>
      <c r="G62" s="3227"/>
      <c r="H62" s="2999">
        <v>493</v>
      </c>
      <c r="I62" s="3227"/>
      <c r="J62" s="2999">
        <v>589</v>
      </c>
      <c r="K62" s="3227"/>
      <c r="L62" s="2999">
        <v>734</v>
      </c>
      <c r="M62" s="2989"/>
      <c r="N62" s="3003">
        <f>AVERAGE(B62:F62)</f>
        <v>483.66666666666669</v>
      </c>
      <c r="O62" s="2989"/>
      <c r="P62" s="2990">
        <f>AVERAGE(H62:L62)</f>
        <v>605.33333333333337</v>
      </c>
      <c r="Q62" s="2989"/>
      <c r="R62" s="2991">
        <f>P62-N62</f>
        <v>121.66666666666669</v>
      </c>
    </row>
    <row r="63" spans="1:18" s="3165" customFormat="1" ht="39.6">
      <c r="A63" s="2997" t="s">
        <v>91</v>
      </c>
      <c r="B63" s="2999">
        <v>223</v>
      </c>
      <c r="C63" s="3225"/>
      <c r="D63" s="2999">
        <v>216</v>
      </c>
      <c r="E63" s="3225"/>
      <c r="F63" s="2999">
        <v>218</v>
      </c>
      <c r="G63" s="3227"/>
      <c r="H63" s="2999">
        <v>220</v>
      </c>
      <c r="I63" s="3227"/>
      <c r="J63" s="2999">
        <v>229</v>
      </c>
      <c r="K63" s="3227"/>
      <c r="L63" s="2999">
        <v>182</v>
      </c>
      <c r="M63" s="2989"/>
      <c r="N63" s="3003">
        <f>AVERAGE(B63:F63)</f>
        <v>219</v>
      </c>
      <c r="O63" s="2989"/>
      <c r="P63" s="2990">
        <f>AVERAGE(H63:L63)</f>
        <v>210.33333333333334</v>
      </c>
      <c r="Q63" s="2989"/>
      <c r="R63" s="2991">
        <f>P63-N63</f>
        <v>-8.6666666666666572</v>
      </c>
    </row>
    <row r="64" spans="1:18" s="3010" customFormat="1" ht="10.8">
      <c r="A64" s="3004" t="s">
        <v>247</v>
      </c>
      <c r="B64" s="3005">
        <f>B62/B61</f>
        <v>0.79846153846153844</v>
      </c>
      <c r="C64" s="3011"/>
      <c r="D64" s="3012">
        <f>D62/D61</f>
        <v>0.77419354838709675</v>
      </c>
      <c r="E64" s="3013"/>
      <c r="F64" s="3005">
        <f>F62/F61</f>
        <v>0.80541455160744502</v>
      </c>
      <c r="G64" s="3013"/>
      <c r="H64" s="3005">
        <f>H62/H61</f>
        <v>0.8202995008319468</v>
      </c>
      <c r="I64" s="3013"/>
      <c r="J64" s="3005">
        <f>J62/J61</f>
        <v>0.8013605442176871</v>
      </c>
      <c r="K64" s="3013"/>
      <c r="L64" s="3005">
        <f>L62/L61</f>
        <v>0.75592173017507724</v>
      </c>
      <c r="M64" s="3006"/>
      <c r="N64" s="3255">
        <f>AVERAGE(B62:F62)/AVERAGE(B61:F61)</f>
        <v>0.79289617486338804</v>
      </c>
      <c r="O64" s="3006"/>
      <c r="P64" s="3253">
        <f>AVERAGE(H62:L62)/AVERAGE(H61:L61)</f>
        <v>0.78716948417858701</v>
      </c>
      <c r="Q64" s="3006"/>
      <c r="R64" s="3254">
        <f>P64-N64</f>
        <v>-5.7266906848010279E-3</v>
      </c>
    </row>
    <row r="65" spans="1:18" s="3010" customFormat="1" ht="21">
      <c r="A65" s="3004" t="s">
        <v>246</v>
      </c>
      <c r="B65" s="3005">
        <f>B63/B62</f>
        <v>0.4296724470134875</v>
      </c>
      <c r="C65" s="3011"/>
      <c r="D65" s="3012">
        <f>D63/D62</f>
        <v>0.47368421052631576</v>
      </c>
      <c r="E65" s="3013"/>
      <c r="F65" s="3005">
        <f>F63/F62</f>
        <v>0.45798319327731091</v>
      </c>
      <c r="G65" s="3013"/>
      <c r="H65" s="3005">
        <f>H63/H62</f>
        <v>0.44624746450304259</v>
      </c>
      <c r="I65" s="3013"/>
      <c r="J65" s="3005">
        <f>J63/J62</f>
        <v>0.38879456706281834</v>
      </c>
      <c r="K65" s="3013"/>
      <c r="L65" s="3005">
        <f>L63/L62</f>
        <v>0.24795640326975477</v>
      </c>
      <c r="M65" s="3006"/>
      <c r="N65" s="3255">
        <f>AVERAGE(B63:F63)/AVERAGE(B62:F62)</f>
        <v>0.45279117849758788</v>
      </c>
      <c r="O65" s="3006"/>
      <c r="P65" s="3253">
        <f>AVERAGE(H63:L63)/AVERAGE(H62:L62)</f>
        <v>0.34746696035242292</v>
      </c>
      <c r="Q65" s="3006"/>
      <c r="R65" s="3254">
        <f t="shared" ref="R65:R66" si="35">P65-N65</f>
        <v>-0.10532421814516496</v>
      </c>
    </row>
    <row r="66" spans="1:18" s="3010" customFormat="1" ht="10.8">
      <c r="A66" s="3004" t="s">
        <v>257</v>
      </c>
      <c r="B66" s="3005">
        <f>B63/B61</f>
        <v>0.34307692307692306</v>
      </c>
      <c r="C66" s="3011"/>
      <c r="D66" s="3012">
        <f>D63/D61</f>
        <v>0.36672325976230902</v>
      </c>
      <c r="E66" s="3013"/>
      <c r="F66" s="3005">
        <f>F63/F61</f>
        <v>0.36886632825719118</v>
      </c>
      <c r="G66" s="3013"/>
      <c r="H66" s="3005">
        <f>H63/H61</f>
        <v>0.36605657237936773</v>
      </c>
      <c r="I66" s="3013"/>
      <c r="J66" s="3005">
        <f>J63/J61</f>
        <v>0.31156462585034012</v>
      </c>
      <c r="K66" s="3013"/>
      <c r="L66" s="3005">
        <f>L63/L61</f>
        <v>0.1874356333676622</v>
      </c>
      <c r="M66" s="3006"/>
      <c r="N66" s="3255">
        <f>AVERAGE(B63:F63)/AVERAGE(B61:F61)</f>
        <v>0.35901639344262293</v>
      </c>
      <c r="O66" s="3006"/>
      <c r="P66" s="3253">
        <f>AVERAGE(H63:L63)/AVERAGE(H61:L61)</f>
        <v>0.27351538794971825</v>
      </c>
      <c r="Q66" s="3006"/>
      <c r="R66" s="3254">
        <f t="shared" si="35"/>
        <v>-8.550100549290468E-2</v>
      </c>
    </row>
    <row r="67" spans="1:18" s="3010" customFormat="1" ht="10.8">
      <c r="A67" s="3004"/>
      <c r="B67" s="3005"/>
      <c r="C67" s="3011"/>
      <c r="D67" s="3012"/>
      <c r="E67" s="3013"/>
      <c r="F67" s="3005"/>
      <c r="G67" s="3013"/>
      <c r="H67" s="3005"/>
      <c r="I67" s="3013"/>
      <c r="J67" s="3005"/>
      <c r="K67" s="3013"/>
      <c r="L67" s="3005"/>
      <c r="M67" s="3006"/>
      <c r="N67" s="3007"/>
      <c r="O67" s="3006"/>
      <c r="P67" s="3008"/>
      <c r="Q67" s="3006"/>
      <c r="R67" s="3009"/>
    </row>
    <row r="68" spans="1:18" s="3165" customFormat="1">
      <c r="A68" s="2998" t="s">
        <v>84</v>
      </c>
      <c r="B68" s="3000"/>
      <c r="C68" s="3218"/>
      <c r="D68" s="3219"/>
      <c r="E68" s="3220"/>
      <c r="F68" s="3000"/>
      <c r="G68" s="3220"/>
      <c r="H68" s="3000"/>
      <c r="I68" s="3220"/>
      <c r="J68" s="3000"/>
      <c r="K68" s="3220"/>
      <c r="L68" s="3000"/>
      <c r="M68" s="2989"/>
      <c r="N68" s="3003"/>
      <c r="O68" s="2989"/>
      <c r="P68" s="2990"/>
      <c r="Q68" s="2989"/>
      <c r="R68" s="2991"/>
    </row>
    <row r="69" spans="1:18" s="3165" customFormat="1" ht="39.6">
      <c r="A69" s="3074" t="s">
        <v>92</v>
      </c>
      <c r="B69" s="2999">
        <v>290</v>
      </c>
      <c r="C69" s="3225"/>
      <c r="D69" s="2999">
        <v>391</v>
      </c>
      <c r="E69" s="3225"/>
      <c r="F69" s="2999">
        <v>491</v>
      </c>
      <c r="G69" s="3227"/>
      <c r="H69" s="2999">
        <v>467</v>
      </c>
      <c r="I69" s="3227"/>
      <c r="J69" s="2999">
        <v>581</v>
      </c>
      <c r="K69" s="3227"/>
      <c r="L69" s="2999">
        <v>453</v>
      </c>
      <c r="M69" s="2989"/>
      <c r="N69" s="3003">
        <f>AVERAGE(B69:F69)</f>
        <v>390.66666666666669</v>
      </c>
      <c r="O69" s="2989"/>
      <c r="P69" s="2990">
        <f>AVERAGE(H69:L69)</f>
        <v>500.33333333333331</v>
      </c>
      <c r="Q69" s="2989"/>
      <c r="R69" s="2991">
        <f>P69-N69</f>
        <v>109.66666666666663</v>
      </c>
    </row>
    <row r="70" spans="1:18" s="3165" customFormat="1" ht="39.6">
      <c r="A70" s="2997" t="s">
        <v>90</v>
      </c>
      <c r="B70" s="2999">
        <v>244</v>
      </c>
      <c r="C70" s="3225"/>
      <c r="D70" s="2999">
        <v>325</v>
      </c>
      <c r="E70" s="3225"/>
      <c r="F70" s="2999">
        <v>418</v>
      </c>
      <c r="G70" s="3227"/>
      <c r="H70" s="2999">
        <v>396</v>
      </c>
      <c r="I70" s="3227"/>
      <c r="J70" s="2999">
        <v>466</v>
      </c>
      <c r="K70" s="3227"/>
      <c r="L70" s="2999">
        <v>365</v>
      </c>
      <c r="M70" s="2989"/>
      <c r="N70" s="3003">
        <f>AVERAGE(B70:F70)</f>
        <v>329</v>
      </c>
      <c r="O70" s="2989"/>
      <c r="P70" s="2990">
        <f>AVERAGE(H70:L70)</f>
        <v>409</v>
      </c>
      <c r="Q70" s="2989"/>
      <c r="R70" s="2991">
        <f>P70-N70</f>
        <v>80</v>
      </c>
    </row>
    <row r="71" spans="1:18" s="3165" customFormat="1" ht="39.6">
      <c r="A71" s="2997" t="s">
        <v>93</v>
      </c>
      <c r="B71" s="2999">
        <v>172</v>
      </c>
      <c r="C71" s="3225"/>
      <c r="D71" s="3226">
        <v>235</v>
      </c>
      <c r="E71" s="3227"/>
      <c r="F71" s="2999">
        <v>297</v>
      </c>
      <c r="G71" s="3227"/>
      <c r="H71" s="2999">
        <v>255</v>
      </c>
      <c r="I71" s="3227"/>
      <c r="J71" s="2999">
        <v>260</v>
      </c>
      <c r="K71" s="3227"/>
      <c r="L71" s="2999">
        <v>117</v>
      </c>
      <c r="M71" s="2989"/>
      <c r="N71" s="3003">
        <f>AVERAGE(B71:F71)</f>
        <v>234.66666666666666</v>
      </c>
      <c r="O71" s="2989"/>
      <c r="P71" s="2990">
        <f>AVERAGE(H71:L71)</f>
        <v>210.66666666666666</v>
      </c>
      <c r="Q71" s="2989"/>
      <c r="R71" s="2991">
        <f>P71-N71</f>
        <v>-24</v>
      </c>
    </row>
    <row r="72" spans="1:18" s="3010" customFormat="1" ht="10.8">
      <c r="A72" s="3004" t="s">
        <v>248</v>
      </c>
      <c r="B72" s="3005">
        <f>B70/B69</f>
        <v>0.8413793103448276</v>
      </c>
      <c r="C72" s="3011"/>
      <c r="D72" s="3012">
        <f>D70/D69</f>
        <v>0.83120204603580561</v>
      </c>
      <c r="E72" s="3013"/>
      <c r="F72" s="3005">
        <f>F70/F69</f>
        <v>0.85132382892057024</v>
      </c>
      <c r="G72" s="3013"/>
      <c r="H72" s="3005">
        <f>H70/H69</f>
        <v>0.84796573875802994</v>
      </c>
      <c r="I72" s="3013"/>
      <c r="J72" s="3005">
        <f>J70/J69</f>
        <v>0.80206540447504304</v>
      </c>
      <c r="K72" s="3013"/>
      <c r="L72" s="3005">
        <f>L70/L69</f>
        <v>0.80573951434878588</v>
      </c>
      <c r="M72" s="3006"/>
      <c r="N72" s="3255">
        <f>AVERAGE(B70:F70)/AVERAGE(B69:F69)</f>
        <v>0.84215017064846409</v>
      </c>
      <c r="O72" s="3006"/>
      <c r="P72" s="3253">
        <f>AVERAGE(H70:L70)/AVERAGE(H69:L69)</f>
        <v>0.8174550299800134</v>
      </c>
      <c r="Q72" s="3006"/>
      <c r="R72" s="3254">
        <f>P72-N72</f>
        <v>-2.4695140668450688E-2</v>
      </c>
    </row>
    <row r="73" spans="1:18" s="3010" customFormat="1" ht="21">
      <c r="A73" s="3004" t="s">
        <v>249</v>
      </c>
      <c r="B73" s="3005">
        <f>B71/B70</f>
        <v>0.70491803278688525</v>
      </c>
      <c r="C73" s="3011"/>
      <c r="D73" s="3012">
        <f>D71/D70</f>
        <v>0.72307692307692306</v>
      </c>
      <c r="E73" s="3013"/>
      <c r="F73" s="3005">
        <f>F71/F70</f>
        <v>0.71052631578947367</v>
      </c>
      <c r="G73" s="3013"/>
      <c r="H73" s="3005">
        <f>H71/H70</f>
        <v>0.64393939393939392</v>
      </c>
      <c r="I73" s="3013"/>
      <c r="J73" s="3005">
        <f>J71/J70</f>
        <v>0.55793991416309008</v>
      </c>
      <c r="K73" s="3013"/>
      <c r="L73" s="3005">
        <f>L71/L70</f>
        <v>0.32054794520547947</v>
      </c>
      <c r="M73" s="3006"/>
      <c r="N73" s="3255">
        <f>AVERAGE(B71:F71)/AVERAGE(B70:F70)</f>
        <v>0.71327254305977705</v>
      </c>
      <c r="O73" s="3006"/>
      <c r="P73" s="3253">
        <f>AVERAGE(H71:L71)/AVERAGE(H70:L70)</f>
        <v>0.51507742461287687</v>
      </c>
      <c r="Q73" s="3006"/>
      <c r="R73" s="3254">
        <f t="shared" ref="R73:R74" si="36">P73-N73</f>
        <v>-0.19819511844690019</v>
      </c>
    </row>
    <row r="74" spans="1:18" s="3010" customFormat="1" ht="10.8">
      <c r="A74" s="3004" t="s">
        <v>258</v>
      </c>
      <c r="B74" s="3005">
        <f>B71/B69</f>
        <v>0.59310344827586203</v>
      </c>
      <c r="C74" s="3011"/>
      <c r="D74" s="3012">
        <f>D71/D69</f>
        <v>0.60102301790281332</v>
      </c>
      <c r="E74" s="3013"/>
      <c r="F74" s="3005">
        <f>F71/F69</f>
        <v>0.60488798370672103</v>
      </c>
      <c r="G74" s="3013"/>
      <c r="H74" s="3005">
        <f>H71/H69</f>
        <v>0.54603854389721629</v>
      </c>
      <c r="I74" s="3013"/>
      <c r="J74" s="3005">
        <f>J71/J69</f>
        <v>0.44750430292598969</v>
      </c>
      <c r="K74" s="3013"/>
      <c r="L74" s="3005">
        <f>L71/L69</f>
        <v>0.25827814569536423</v>
      </c>
      <c r="M74" s="3006"/>
      <c r="N74" s="3255">
        <f>AVERAGE(B71:F71)/AVERAGE(B69:F69)</f>
        <v>0.60068259385665523</v>
      </c>
      <c r="O74" s="3006"/>
      <c r="P74" s="3253">
        <f>AVERAGE(H71:L71)/AVERAGE(H69:L69)</f>
        <v>0.42105263157894735</v>
      </c>
      <c r="Q74" s="3006"/>
      <c r="R74" s="3254">
        <f t="shared" si="36"/>
        <v>-0.17962996227770789</v>
      </c>
    </row>
    <row r="75" spans="1:18" s="3010" customFormat="1" ht="10.8">
      <c r="A75" s="3004"/>
      <c r="B75" s="3005"/>
      <c r="C75" s="3011"/>
      <c r="D75" s="3012"/>
      <c r="E75" s="3013"/>
      <c r="F75" s="3005"/>
      <c r="G75" s="3013"/>
      <c r="H75" s="3005"/>
      <c r="I75" s="3013"/>
      <c r="J75" s="3005"/>
      <c r="K75" s="3013"/>
      <c r="L75" s="3005"/>
      <c r="M75" s="3006"/>
      <c r="N75" s="3007"/>
      <c r="O75" s="3006"/>
      <c r="P75" s="3008"/>
      <c r="Q75" s="3006"/>
      <c r="R75" s="3009"/>
    </row>
    <row r="76" spans="1:18" s="3165" customFormat="1">
      <c r="A76" s="3034" t="s">
        <v>94</v>
      </c>
      <c r="B76" s="2999"/>
      <c r="C76" s="3225"/>
      <c r="D76" s="3226"/>
      <c r="E76" s="3227"/>
      <c r="F76" s="2999"/>
      <c r="G76" s="3227"/>
      <c r="H76" s="2999"/>
      <c r="I76" s="3227"/>
      <c r="J76" s="2999"/>
      <c r="K76" s="3227"/>
      <c r="L76" s="2999"/>
      <c r="M76" s="2989"/>
      <c r="N76" s="3003"/>
      <c r="O76" s="2989"/>
      <c r="P76" s="2990"/>
      <c r="Q76" s="2989"/>
      <c r="R76" s="2991"/>
    </row>
    <row r="77" spans="1:18" s="3165" customFormat="1" ht="41.25" customHeight="1">
      <c r="A77" s="3074" t="s">
        <v>95</v>
      </c>
      <c r="B77" s="2999">
        <v>449</v>
      </c>
      <c r="C77" s="3225"/>
      <c r="D77" s="3226">
        <v>493</v>
      </c>
      <c r="E77" s="3227"/>
      <c r="F77" s="2999">
        <v>527</v>
      </c>
      <c r="G77" s="3227"/>
      <c r="H77" s="2999">
        <v>599</v>
      </c>
      <c r="I77" s="3227"/>
      <c r="J77" s="2999">
        <v>864</v>
      </c>
      <c r="K77" s="3227"/>
      <c r="L77" s="2999">
        <v>1004</v>
      </c>
      <c r="M77" s="2989"/>
      <c r="N77" s="3003">
        <f>AVERAGE(B77:F77)</f>
        <v>489.66666666666669</v>
      </c>
      <c r="O77" s="2989"/>
      <c r="P77" s="2990">
        <f>AVERAGE(H77:L77)</f>
        <v>822.33333333333337</v>
      </c>
      <c r="Q77" s="2989"/>
      <c r="R77" s="2991">
        <f>P77-N77</f>
        <v>332.66666666666669</v>
      </c>
    </row>
    <row r="78" spans="1:18" s="3165" customFormat="1" ht="39.6">
      <c r="A78" s="2997" t="s">
        <v>90</v>
      </c>
      <c r="B78" s="2999">
        <v>321</v>
      </c>
      <c r="C78" s="3225"/>
      <c r="D78" s="3226">
        <v>256</v>
      </c>
      <c r="E78" s="3227"/>
      <c r="F78" s="2999">
        <v>380</v>
      </c>
      <c r="G78" s="3227"/>
      <c r="H78" s="2999">
        <v>457</v>
      </c>
      <c r="I78" s="3227"/>
      <c r="J78" s="2999">
        <v>592</v>
      </c>
      <c r="K78" s="3227"/>
      <c r="L78" s="2999">
        <v>621</v>
      </c>
      <c r="M78" s="2989"/>
      <c r="N78" s="3003">
        <f>AVERAGE(B78:F78)</f>
        <v>319</v>
      </c>
      <c r="O78" s="2989"/>
      <c r="P78" s="2990">
        <f>AVERAGE(H78:L78)</f>
        <v>556.66666666666663</v>
      </c>
      <c r="Q78" s="2989"/>
      <c r="R78" s="2991">
        <f>P78-N78</f>
        <v>237.66666666666663</v>
      </c>
    </row>
    <row r="79" spans="1:18" s="3167" customFormat="1" ht="41.25" customHeight="1">
      <c r="A79" s="3015" t="s">
        <v>162</v>
      </c>
      <c r="B79" s="2999">
        <v>85</v>
      </c>
      <c r="C79" s="3225"/>
      <c r="D79" s="3226">
        <v>89</v>
      </c>
      <c r="E79" s="3227"/>
      <c r="F79" s="2999">
        <v>137</v>
      </c>
      <c r="G79" s="3227"/>
      <c r="H79" s="2999">
        <v>147</v>
      </c>
      <c r="I79" s="3227"/>
      <c r="J79" s="2999">
        <v>147</v>
      </c>
      <c r="K79" s="3227"/>
      <c r="L79" s="2999">
        <v>64</v>
      </c>
      <c r="M79" s="3014"/>
      <c r="N79" s="3003">
        <f>AVERAGE(B79:F79)</f>
        <v>103.66666666666667</v>
      </c>
      <c r="O79" s="2989"/>
      <c r="P79" s="2990">
        <f>AVERAGE(H79:L79)</f>
        <v>119.33333333333333</v>
      </c>
      <c r="Q79" s="2989"/>
      <c r="R79" s="2991">
        <f>P79-N79</f>
        <v>15.666666666666657</v>
      </c>
    </row>
    <row r="80" spans="1:18" s="3010" customFormat="1" ht="10.8">
      <c r="A80" s="3004" t="s">
        <v>250</v>
      </c>
      <c r="B80" s="3005">
        <f>B78/B77</f>
        <v>0.71492204899777279</v>
      </c>
      <c r="C80" s="3011"/>
      <c r="D80" s="3012">
        <f>D78/D77</f>
        <v>0.51926977687626774</v>
      </c>
      <c r="E80" s="3013"/>
      <c r="F80" s="3005">
        <f>F78/F77</f>
        <v>0.72106261859582543</v>
      </c>
      <c r="G80" s="3013"/>
      <c r="H80" s="3005">
        <f>H78/H77</f>
        <v>0.76293823038397324</v>
      </c>
      <c r="I80" s="3013"/>
      <c r="J80" s="3005">
        <f>J78/J77</f>
        <v>0.68518518518518523</v>
      </c>
      <c r="K80" s="3013"/>
      <c r="L80" s="3005">
        <f>L78/L77</f>
        <v>0.61852589641434264</v>
      </c>
      <c r="M80" s="3006"/>
      <c r="N80" s="3255">
        <f>AVERAGE(B78:F78)/AVERAGE(B77:F77)</f>
        <v>0.65146358066712051</v>
      </c>
      <c r="O80" s="3006"/>
      <c r="P80" s="3253">
        <f>AVERAGE(H78:L78)/AVERAGE(H77:L77)</f>
        <v>0.67693554925010124</v>
      </c>
      <c r="Q80" s="3006"/>
      <c r="R80" s="3254">
        <f>P80-N80</f>
        <v>2.5471968582980731E-2</v>
      </c>
    </row>
    <row r="81" spans="1:18" s="3010" customFormat="1" ht="21">
      <c r="A81" s="3004" t="s">
        <v>251</v>
      </c>
      <c r="B81" s="3005">
        <f>B79/B78</f>
        <v>0.26479750778816197</v>
      </c>
      <c r="C81" s="3011"/>
      <c r="D81" s="3012">
        <f>D79/D78</f>
        <v>0.34765625</v>
      </c>
      <c r="E81" s="3013"/>
      <c r="F81" s="3005">
        <f>F79/F78</f>
        <v>0.36052631578947369</v>
      </c>
      <c r="G81" s="3013"/>
      <c r="H81" s="3005">
        <f>H79/H78</f>
        <v>0.32166301969365424</v>
      </c>
      <c r="I81" s="3013"/>
      <c r="J81" s="3005">
        <f>J79/J78</f>
        <v>0.2483108108108108</v>
      </c>
      <c r="K81" s="3013"/>
      <c r="L81" s="3005">
        <f>L79/L78</f>
        <v>0.10305958132045089</v>
      </c>
      <c r="M81" s="3006"/>
      <c r="N81" s="3255">
        <f>AVERAGE(B79:F79)/AVERAGE(B78:F78)</f>
        <v>0.32497387669801464</v>
      </c>
      <c r="O81" s="3006"/>
      <c r="P81" s="3253">
        <f>AVERAGE(H79:L79)/AVERAGE(H78:L78)</f>
        <v>0.21437125748502994</v>
      </c>
      <c r="Q81" s="3006"/>
      <c r="R81" s="3254">
        <f t="shared" ref="R81:R82" si="37">P81-N81</f>
        <v>-0.1106026192129847</v>
      </c>
    </row>
    <row r="82" spans="1:18" s="3010" customFormat="1" ht="11.25" customHeight="1" thickBot="1">
      <c r="A82" s="3016" t="s">
        <v>259</v>
      </c>
      <c r="B82" s="3017">
        <f>B79/B77</f>
        <v>0.18930957683741648</v>
      </c>
      <c r="C82" s="3018"/>
      <c r="D82" s="3019">
        <f>D79/D77</f>
        <v>0.18052738336713997</v>
      </c>
      <c r="E82" s="3020"/>
      <c r="F82" s="3017">
        <f>F79/F77</f>
        <v>0.25996204933586337</v>
      </c>
      <c r="G82" s="3020"/>
      <c r="H82" s="3017">
        <f>H79/H77</f>
        <v>0.24540901502504173</v>
      </c>
      <c r="I82" s="3020"/>
      <c r="J82" s="3017">
        <f>J79/J77</f>
        <v>0.1701388888888889</v>
      </c>
      <c r="K82" s="3020"/>
      <c r="L82" s="3017">
        <f>L79/L77</f>
        <v>6.3745019920318724E-2</v>
      </c>
      <c r="M82" s="3021"/>
      <c r="N82" s="3256">
        <f>AVERAGE(B79:F79)/AVERAGE(B77:F77)</f>
        <v>0.21170864533696393</v>
      </c>
      <c r="O82" s="3021"/>
      <c r="P82" s="3257">
        <f>AVERAGE(H79:L79)/AVERAGE(H77:L77)</f>
        <v>0.14511552492906363</v>
      </c>
      <c r="Q82" s="3021"/>
      <c r="R82" s="3258">
        <f t="shared" si="37"/>
        <v>-6.6593120407900303E-2</v>
      </c>
    </row>
    <row r="83" spans="1:18" s="2967" customFormat="1">
      <c r="B83" s="2228"/>
      <c r="C83" s="2228"/>
      <c r="D83" s="2228"/>
      <c r="E83" s="2228"/>
      <c r="F83" s="2228"/>
      <c r="G83" s="2228"/>
      <c r="H83" s="2228"/>
      <c r="I83" s="2228"/>
      <c r="J83" s="2228"/>
      <c r="K83" s="2228"/>
      <c r="L83" s="2228"/>
      <c r="M83" s="2972"/>
      <c r="N83" s="2972"/>
      <c r="O83" s="2972"/>
      <c r="P83" s="2972"/>
      <c r="Q83" s="2972"/>
      <c r="R83" s="2972"/>
    </row>
    <row r="84" spans="1:18">
      <c r="A84" s="28" t="s">
        <v>12</v>
      </c>
      <c r="B84" s="87"/>
      <c r="C84" s="1176"/>
      <c r="D84" s="1176"/>
      <c r="E84" s="1176"/>
      <c r="F84" s="1176"/>
      <c r="G84" s="1176"/>
      <c r="H84" s="1176"/>
      <c r="I84" s="1176"/>
      <c r="J84" s="1176"/>
      <c r="L84" s="1176"/>
    </row>
    <row r="85" spans="1:18">
      <c r="A85" s="39" t="s">
        <v>139</v>
      </c>
      <c r="B85" s="1176"/>
      <c r="C85" s="1176"/>
      <c r="D85" s="1176"/>
      <c r="E85" s="1176"/>
      <c r="F85" s="1176"/>
      <c r="G85" s="1176"/>
      <c r="H85" s="1176"/>
      <c r="I85" s="1176"/>
      <c r="J85" s="1176"/>
      <c r="L85" s="1176"/>
    </row>
    <row r="86" spans="1:18">
      <c r="A86" s="39" t="s">
        <v>140</v>
      </c>
      <c r="B86" s="1176"/>
      <c r="C86" s="1176"/>
      <c r="D86" s="1176"/>
      <c r="E86" s="1176"/>
      <c r="F86" s="1176"/>
      <c r="G86" s="1176"/>
      <c r="H86" s="1176"/>
      <c r="I86" s="1176"/>
      <c r="J86" s="1176"/>
      <c r="L86" s="1176"/>
    </row>
    <row r="87" spans="1:18">
      <c r="A87" s="39" t="s">
        <v>141</v>
      </c>
      <c r="B87" s="1176"/>
      <c r="C87" s="1176"/>
      <c r="D87" s="1176"/>
      <c r="E87" s="1176"/>
      <c r="F87" s="1176"/>
      <c r="G87" s="1176"/>
      <c r="H87" s="1176"/>
      <c r="I87" s="1176"/>
      <c r="J87" s="1176"/>
      <c r="L87" s="1176"/>
    </row>
    <row r="88" spans="1:18">
      <c r="A88" s="39" t="s">
        <v>142</v>
      </c>
      <c r="B88" s="1176"/>
      <c r="C88" s="1176"/>
      <c r="D88" s="1176"/>
      <c r="E88" s="1176"/>
      <c r="F88" s="1176"/>
      <c r="G88" s="1176"/>
      <c r="H88" s="1176"/>
      <c r="I88" s="1176"/>
      <c r="J88" s="1176"/>
      <c r="L88" s="1176"/>
    </row>
    <row r="89" spans="1:18">
      <c r="A89" s="39"/>
      <c r="B89" s="1176"/>
      <c r="C89" s="1176"/>
      <c r="D89" s="1176"/>
      <c r="E89" s="1176"/>
      <c r="F89" s="1176"/>
      <c r="G89" s="1176"/>
      <c r="H89" s="1176"/>
      <c r="I89" s="1176"/>
      <c r="J89" s="1176"/>
      <c r="L89" s="1176"/>
    </row>
    <row r="90" spans="1:18">
      <c r="A90" s="39" t="s">
        <v>143</v>
      </c>
      <c r="B90" s="1176"/>
      <c r="C90" s="1176"/>
      <c r="D90" s="1176"/>
      <c r="E90" s="1176"/>
      <c r="F90" s="1176"/>
      <c r="G90" s="1176"/>
      <c r="H90" s="1176"/>
      <c r="I90" s="1176"/>
      <c r="J90" s="1176"/>
      <c r="L90" s="1176"/>
    </row>
    <row r="91" spans="1:18">
      <c r="A91" s="57" t="s">
        <v>144</v>
      </c>
      <c r="B91" s="1176"/>
      <c r="C91" s="1176"/>
      <c r="D91" s="1176"/>
      <c r="E91" s="1176"/>
      <c r="F91" s="1176"/>
      <c r="G91" s="1176"/>
      <c r="H91" s="1176"/>
      <c r="I91" s="1176"/>
      <c r="J91" s="1176"/>
      <c r="L91" s="1176"/>
    </row>
    <row r="92" spans="1:18">
      <c r="A92" s="57" t="s">
        <v>54</v>
      </c>
      <c r="B92" s="1176"/>
      <c r="C92" s="1176"/>
      <c r="D92" s="1176"/>
      <c r="E92" s="1176"/>
      <c r="F92" s="1176"/>
      <c r="G92" s="1176"/>
      <c r="H92" s="1176"/>
      <c r="I92" s="1176"/>
      <c r="J92" s="1176"/>
      <c r="L92" s="1176"/>
    </row>
    <row r="93" spans="1:18">
      <c r="A93" s="57" t="s">
        <v>145</v>
      </c>
      <c r="B93" s="1176"/>
      <c r="C93" s="1176"/>
      <c r="D93" s="1176"/>
      <c r="E93" s="1176"/>
      <c r="F93" s="1176"/>
      <c r="G93" s="1176"/>
      <c r="H93" s="1176"/>
      <c r="I93" s="1176"/>
      <c r="J93" s="1176"/>
      <c r="L93" s="1176"/>
    </row>
    <row r="94" spans="1:18">
      <c r="B94" s="1176"/>
      <c r="C94" s="1176"/>
      <c r="D94" s="1176"/>
      <c r="E94" s="1176"/>
      <c r="F94" s="1176"/>
      <c r="G94" s="1176"/>
      <c r="H94" s="1176"/>
      <c r="I94" s="1176"/>
      <c r="J94" s="1176"/>
      <c r="L94" s="1176"/>
    </row>
    <row r="95" spans="1:18">
      <c r="A95" s="101" t="s">
        <v>146</v>
      </c>
      <c r="B95" s="1176"/>
      <c r="C95" s="1176"/>
      <c r="D95" s="1176"/>
      <c r="E95" s="1176"/>
      <c r="F95" s="1176"/>
      <c r="G95" s="1176"/>
      <c r="H95" s="1176"/>
      <c r="I95" s="1176"/>
      <c r="J95" s="1176"/>
      <c r="L95" s="1176"/>
    </row>
    <row r="96" spans="1:18">
      <c r="B96" s="1176"/>
      <c r="C96" s="1176"/>
      <c r="D96" s="1176"/>
      <c r="E96" s="1176"/>
      <c r="F96" s="1176"/>
      <c r="G96" s="1176"/>
      <c r="H96" s="1176"/>
    </row>
    <row r="97" spans="1:8">
      <c r="A97" s="96" t="s">
        <v>96</v>
      </c>
      <c r="B97" s="1176"/>
      <c r="C97" s="1176"/>
      <c r="D97" s="1176"/>
      <c r="E97" s="1176"/>
      <c r="F97" s="1176"/>
      <c r="G97" s="1176"/>
      <c r="H97" s="1176"/>
    </row>
    <row r="98" spans="1:8">
      <c r="A98" s="96" t="s">
        <v>97</v>
      </c>
      <c r="B98" s="1176"/>
      <c r="C98" s="1176"/>
      <c r="D98" s="1176"/>
      <c r="E98" s="1176"/>
      <c r="F98" s="1176"/>
      <c r="G98" s="1176"/>
      <c r="H98" s="1176"/>
    </row>
    <row r="99" spans="1:8">
      <c r="A99" s="96" t="s">
        <v>98</v>
      </c>
      <c r="B99" s="1176"/>
      <c r="C99" s="1176"/>
      <c r="D99" s="1176"/>
      <c r="E99" s="1176"/>
      <c r="F99" s="1176"/>
      <c r="G99" s="1176"/>
      <c r="H99" s="1176"/>
    </row>
    <row r="100" spans="1:8">
      <c r="A100" s="96" t="s">
        <v>99</v>
      </c>
      <c r="B100" s="1176"/>
      <c r="C100" s="1176"/>
      <c r="D100" s="1176"/>
      <c r="E100" s="1176"/>
      <c r="F100" s="1176"/>
      <c r="G100" s="1176"/>
      <c r="H100" s="1176"/>
    </row>
    <row r="101" spans="1:8">
      <c r="B101" s="1176"/>
      <c r="C101" s="1176"/>
      <c r="D101" s="1176"/>
      <c r="E101" s="1176"/>
      <c r="F101" s="1176"/>
      <c r="G101" s="1176"/>
      <c r="H101" s="1176"/>
    </row>
    <row r="102" spans="1:8">
      <c r="A102" s="11" t="s">
        <v>100</v>
      </c>
      <c r="B102" s="1176"/>
      <c r="C102" s="1176"/>
      <c r="D102" s="1176"/>
      <c r="E102" s="1176"/>
      <c r="F102" s="1176"/>
      <c r="G102" s="1176"/>
      <c r="H102" s="1176"/>
    </row>
    <row r="103" spans="1:8">
      <c r="A103" s="96" t="s">
        <v>101</v>
      </c>
      <c r="B103" s="1176"/>
      <c r="C103" s="1176"/>
      <c r="D103" s="1176"/>
      <c r="E103" s="1176"/>
      <c r="F103" s="1176"/>
      <c r="G103" s="1176"/>
      <c r="H103" s="1176"/>
    </row>
    <row r="104" spans="1:8">
      <c r="A104" s="11" t="s">
        <v>102</v>
      </c>
      <c r="B104" s="1176"/>
      <c r="C104" s="1176"/>
      <c r="D104" s="1176"/>
      <c r="E104" s="1176"/>
      <c r="F104" s="1176"/>
      <c r="G104" s="1176"/>
      <c r="H104" s="1176"/>
    </row>
    <row r="105" spans="1:8">
      <c r="A105" s="96" t="s">
        <v>103</v>
      </c>
      <c r="B105" s="1176"/>
      <c r="C105" s="1176"/>
      <c r="D105" s="1176"/>
      <c r="E105" s="1176"/>
      <c r="F105" s="1176"/>
      <c r="G105" s="1176"/>
      <c r="H105" s="1176"/>
    </row>
    <row r="106" spans="1:8">
      <c r="A106" s="11" t="s">
        <v>104</v>
      </c>
      <c r="B106" s="1176"/>
      <c r="C106" s="1176"/>
      <c r="D106" s="1176"/>
      <c r="E106" s="1176"/>
      <c r="F106" s="1176"/>
      <c r="G106" s="1176"/>
      <c r="H106" s="1176"/>
    </row>
    <row r="107" spans="1:8">
      <c r="A107" s="96" t="s">
        <v>105</v>
      </c>
      <c r="B107" s="1176"/>
      <c r="C107" s="1176"/>
      <c r="D107" s="1176"/>
      <c r="E107" s="1176"/>
      <c r="F107" s="1176"/>
      <c r="G107" s="1176"/>
      <c r="H107" s="1176"/>
    </row>
    <row r="108" spans="1:8">
      <c r="A108" s="11" t="s">
        <v>106</v>
      </c>
      <c r="B108" s="1176"/>
      <c r="C108" s="1176"/>
      <c r="D108" s="1176"/>
      <c r="E108" s="1176"/>
      <c r="F108" s="1176"/>
      <c r="G108" s="1176"/>
      <c r="H108" s="1176"/>
    </row>
    <row r="109" spans="1:8">
      <c r="A109" s="11" t="s">
        <v>107</v>
      </c>
      <c r="B109" s="1176"/>
      <c r="C109" s="1176"/>
      <c r="D109" s="1176"/>
      <c r="E109" s="1176"/>
      <c r="F109" s="1176"/>
      <c r="G109" s="1176"/>
      <c r="H109" s="1176"/>
    </row>
    <row r="110" spans="1:8">
      <c r="A110" s="11" t="s">
        <v>108</v>
      </c>
      <c r="B110" s="1176"/>
      <c r="C110" s="1176"/>
      <c r="D110" s="1176"/>
      <c r="E110" s="1176"/>
      <c r="F110" s="1176"/>
      <c r="G110" s="1176"/>
      <c r="H110" s="1176"/>
    </row>
    <row r="111" spans="1:8">
      <c r="A111" s="11" t="s">
        <v>109</v>
      </c>
      <c r="B111" s="1176"/>
      <c r="C111" s="1176"/>
      <c r="D111" s="1176"/>
      <c r="E111" s="1176"/>
      <c r="F111" s="1176"/>
      <c r="G111" s="1176"/>
      <c r="H111" s="1176"/>
    </row>
    <row r="112" spans="1:8">
      <c r="A112" s="11" t="s">
        <v>110</v>
      </c>
      <c r="B112" s="1176"/>
      <c r="C112" s="1176"/>
      <c r="D112" s="1176"/>
      <c r="E112" s="1176"/>
      <c r="F112" s="1176"/>
      <c r="G112" s="1176"/>
      <c r="H112" s="1176"/>
    </row>
    <row r="113" spans="1:12">
      <c r="A113" s="11" t="s">
        <v>161</v>
      </c>
      <c r="B113" s="1176"/>
      <c r="C113" s="1176"/>
      <c r="D113" s="1176"/>
      <c r="E113" s="1176"/>
      <c r="F113" s="1176"/>
      <c r="G113" s="1176"/>
      <c r="H113" s="1176"/>
      <c r="L113" s="3228"/>
    </row>
    <row r="114" spans="1:12">
      <c r="B114" s="1176"/>
      <c r="C114" s="1176"/>
      <c r="D114" s="1176"/>
      <c r="E114" s="1176"/>
      <c r="F114" s="1176"/>
      <c r="G114" s="1176"/>
      <c r="H114" s="1176"/>
    </row>
    <row r="115" spans="1:12">
      <c r="B115" s="1176"/>
      <c r="C115" s="1176"/>
      <c r="D115" s="1176"/>
      <c r="E115" s="1176"/>
      <c r="F115" s="1176"/>
      <c r="G115" s="1176"/>
      <c r="H115" s="1176"/>
    </row>
  </sheetData>
  <mergeCells count="4">
    <mergeCell ref="A1:R1"/>
    <mergeCell ref="A2:R2"/>
    <mergeCell ref="A3:R3"/>
    <mergeCell ref="A4:R4"/>
  </mergeCells>
  <printOptions horizontalCentered="1"/>
  <pageMargins left="0.32" right="0.7" top="0.4" bottom="0.54" header="0.3" footer="0.3"/>
  <pageSetup scale="68" orientation="landscape" r:id="rId1"/>
  <headerFooter alignWithMargins="0">
    <oddFooter>&amp;LHouse Ways and Means Cmte Amendment 1001 2-14-13&amp;R&amp;D</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18"/>
  <sheetViews>
    <sheetView topLeftCell="A165" zoomScale="80" zoomScaleNormal="80" workbookViewId="0">
      <selection activeCell="AJ9" sqref="AJ9"/>
    </sheetView>
  </sheetViews>
  <sheetFormatPr defaultColWidth="9.109375" defaultRowHeight="13.2"/>
  <cols>
    <col min="1" max="1" width="50.6640625" style="11" customWidth="1"/>
    <col min="2" max="2" width="9" style="1" bestFit="1" customWidth="1"/>
    <col min="3" max="3" width="1.44140625" style="1" customWidth="1"/>
    <col min="4" max="4" width="8.33203125" style="1" bestFit="1" customWidth="1"/>
    <col min="5" max="5" width="1.5546875" style="1" customWidth="1"/>
    <col min="6" max="6" width="8.33203125" style="2" bestFit="1" customWidth="1"/>
    <col min="7" max="7" width="1.44140625" style="1" customWidth="1"/>
    <col min="8" max="8" width="9.33203125" style="1" customWidth="1"/>
    <col min="9" max="9" width="1.5546875" style="1" customWidth="1"/>
    <col min="10" max="10" width="8.33203125" style="1" bestFit="1" customWidth="1"/>
    <col min="11" max="11" width="1.44140625" style="1" customWidth="1"/>
    <col min="12" max="12" width="8.5546875" style="1" bestFit="1" customWidth="1"/>
    <col min="13" max="13" width="1.44140625" style="1" customWidth="1"/>
    <col min="14" max="14" width="18.6640625" style="1385" customWidth="1"/>
    <col min="15" max="15" width="1.44140625" style="1385" customWidth="1"/>
    <col min="16" max="16" width="18.6640625" style="1385" customWidth="1"/>
    <col min="17" max="17" width="1.44140625" style="1385" customWidth="1"/>
    <col min="18" max="18" width="18.6640625" style="1385" customWidth="1"/>
    <col min="19" max="19" width="9.109375" style="2749"/>
    <col min="20" max="20" width="9.109375" style="1"/>
    <col min="21" max="21" width="1.88671875" style="1" customWidth="1"/>
    <col min="22" max="22" width="9.109375" style="1"/>
    <col min="23" max="23" width="1.6640625" style="1" customWidth="1"/>
    <col min="24" max="24" width="9.109375" style="3170"/>
    <col min="25" max="25" width="1.6640625" style="3170" customWidth="1"/>
    <col min="26" max="26" width="9.5546875" style="1" bestFit="1" customWidth="1"/>
    <col min="27" max="27" width="1.6640625" style="1" customWidth="1"/>
    <col min="28" max="28" width="9.109375" style="1"/>
    <col min="29" max="29" width="1.6640625" style="1" customWidth="1"/>
    <col min="30" max="16384" width="9.109375" style="1"/>
  </cols>
  <sheetData>
    <row r="1" spans="1:25">
      <c r="A1" s="4479" t="s">
        <v>73</v>
      </c>
      <c r="B1" s="4479"/>
      <c r="C1" s="4479"/>
      <c r="D1" s="4479"/>
      <c r="E1" s="4479"/>
      <c r="F1" s="4479"/>
      <c r="G1" s="4479"/>
      <c r="H1" s="4479"/>
      <c r="I1" s="4479"/>
      <c r="J1" s="4479"/>
      <c r="K1" s="4479"/>
      <c r="L1" s="4479"/>
      <c r="M1" s="4479"/>
      <c r="N1" s="4479"/>
      <c r="O1" s="4479"/>
      <c r="P1" s="4479"/>
      <c r="Q1" s="4479"/>
      <c r="R1" s="4479"/>
    </row>
    <row r="2" spans="1:25">
      <c r="A2" s="4480" t="s">
        <v>55</v>
      </c>
      <c r="B2" s="4480"/>
      <c r="C2" s="4480"/>
      <c r="D2" s="4480"/>
      <c r="E2" s="4480"/>
      <c r="F2" s="4480"/>
      <c r="G2" s="4480"/>
      <c r="H2" s="4480"/>
      <c r="I2" s="4480"/>
      <c r="J2" s="4480"/>
      <c r="K2" s="4480"/>
      <c r="L2" s="4480"/>
      <c r="M2" s="4480"/>
      <c r="N2" s="4480"/>
      <c r="O2" s="4480"/>
      <c r="P2" s="4480"/>
      <c r="Q2" s="4480"/>
      <c r="R2" s="4480"/>
    </row>
    <row r="3" spans="1:25">
      <c r="A3" s="4481" t="s">
        <v>0</v>
      </c>
      <c r="B3" s="4481"/>
      <c r="C3" s="4481"/>
      <c r="D3" s="4481"/>
      <c r="E3" s="4481"/>
      <c r="F3" s="4481"/>
      <c r="G3" s="4481"/>
      <c r="H3" s="4481"/>
      <c r="I3" s="4481"/>
      <c r="J3" s="4481"/>
      <c r="K3" s="4481"/>
      <c r="L3" s="4481"/>
      <c r="M3" s="4481"/>
      <c r="N3" s="4481"/>
      <c r="O3" s="4481"/>
      <c r="P3" s="4481"/>
      <c r="Q3" s="4481"/>
      <c r="R3" s="4481"/>
    </row>
    <row r="4" spans="1:25">
      <c r="A4" s="4481" t="s">
        <v>56</v>
      </c>
      <c r="B4" s="4481"/>
      <c r="C4" s="4481"/>
      <c r="D4" s="4481"/>
      <c r="E4" s="4481"/>
      <c r="F4" s="4481"/>
      <c r="G4" s="4481"/>
      <c r="H4" s="4481"/>
      <c r="I4" s="4481"/>
      <c r="J4" s="4481"/>
      <c r="K4" s="4481"/>
      <c r="L4" s="4481"/>
      <c r="M4" s="4481"/>
      <c r="N4" s="4481"/>
      <c r="O4" s="4481"/>
      <c r="P4" s="4481"/>
      <c r="Q4" s="4481"/>
      <c r="R4" s="4481"/>
    </row>
    <row r="5" spans="1:25" ht="13.8" thickBot="1">
      <c r="A5" s="52" t="s">
        <v>1</v>
      </c>
      <c r="B5" s="52"/>
      <c r="C5" s="52"/>
      <c r="D5" s="52"/>
      <c r="E5" s="52"/>
      <c r="F5" s="52"/>
      <c r="G5" s="52"/>
      <c r="H5" s="52"/>
      <c r="I5" s="52"/>
      <c r="J5" s="52"/>
      <c r="K5" s="52"/>
      <c r="L5" s="52"/>
      <c r="M5" s="52"/>
      <c r="O5" s="1386"/>
      <c r="Q5" s="1386"/>
    </row>
    <row r="6" spans="1:25" s="7" customFormat="1" ht="27" thickBot="1">
      <c r="A6" s="442" t="s">
        <v>173</v>
      </c>
      <c r="B6" s="60" t="s">
        <v>2</v>
      </c>
      <c r="C6" s="61"/>
      <c r="D6" s="62" t="s">
        <v>3</v>
      </c>
      <c r="E6" s="61"/>
      <c r="F6" s="63" t="s">
        <v>4</v>
      </c>
      <c r="G6" s="61"/>
      <c r="H6" s="59" t="s">
        <v>5</v>
      </c>
      <c r="I6" s="61"/>
      <c r="J6" s="59" t="s">
        <v>6</v>
      </c>
      <c r="K6" s="61"/>
      <c r="L6" s="59" t="s">
        <v>7</v>
      </c>
      <c r="M6" s="61"/>
      <c r="N6" s="1384" t="s">
        <v>33</v>
      </c>
      <c r="O6" s="1378"/>
      <c r="P6" s="1384" t="s">
        <v>34</v>
      </c>
      <c r="Q6" s="1378"/>
      <c r="R6" s="1382" t="s">
        <v>35</v>
      </c>
      <c r="S6" s="3239"/>
      <c r="T6" s="3246"/>
      <c r="X6" s="3539"/>
      <c r="Y6" s="3539"/>
    </row>
    <row r="7" spans="1:25">
      <c r="A7" s="64" t="s">
        <v>153</v>
      </c>
      <c r="B7" s="65"/>
      <c r="C7" s="45"/>
      <c r="D7" s="66"/>
      <c r="E7" s="45"/>
      <c r="F7" s="66"/>
      <c r="G7" s="45"/>
      <c r="H7" s="66"/>
      <c r="I7" s="45"/>
      <c r="J7" s="66"/>
      <c r="K7" s="45"/>
      <c r="L7" s="66"/>
      <c r="M7" s="45"/>
      <c r="N7" s="1389"/>
      <c r="O7" s="1381"/>
      <c r="P7" s="1389"/>
      <c r="Q7" s="1381"/>
      <c r="R7" s="1380"/>
    </row>
    <row r="8" spans="1:25">
      <c r="A8" s="15" t="s">
        <v>59</v>
      </c>
      <c r="B8" s="3083">
        <f>B19+B30+B41+B52+B63+B74+B85+B96+B107+B118+B129+B140+B151+B162+B173+B184</f>
        <v>6341</v>
      </c>
      <c r="C8" s="3084"/>
      <c r="D8" s="3085">
        <f>D19+D30+D41+D52+D63+D74+D85+D96+D107+D118+D129+D140+D151+D162+D173+D184</f>
        <v>6551</v>
      </c>
      <c r="E8" s="3084"/>
      <c r="F8" s="3085">
        <f>F19+F30+F41+F52+F63+F74+F85+F96+F107+F118+F129+F140+F151+F162+F173+F184</f>
        <v>7755</v>
      </c>
      <c r="G8" s="3084"/>
      <c r="H8" s="3085">
        <f>H19+H30+H41+H52+H63+H74+H85+H96+H107+H118+H129+H140+H151+H162+H173+H184</f>
        <v>8800</v>
      </c>
      <c r="I8" s="3084"/>
      <c r="J8" s="3085">
        <f>J19+J30+J41+J52+J63+J74+J85+J96+J107+J118+J129+J140+J151+J162+J173+J184</f>
        <v>11324</v>
      </c>
      <c r="K8" s="3084"/>
      <c r="L8" s="3085">
        <f>L19+L30+L41+L52+L63+L74+L85+L96+L107+L118+L129+L140+L151+L162+L173+L184</f>
        <v>12261</v>
      </c>
      <c r="M8" s="72"/>
      <c r="N8" s="962">
        <f>AVERAGE(B8:F8)</f>
        <v>6882.333333333333</v>
      </c>
      <c r="O8" s="963"/>
      <c r="P8" s="962">
        <f>AVERAGE(H8:L8)</f>
        <v>10795</v>
      </c>
      <c r="Q8" s="963"/>
      <c r="R8" s="964">
        <f>P8-N8</f>
        <v>3912.666666666667</v>
      </c>
    </row>
    <row r="9" spans="1:25">
      <c r="A9" s="15" t="s">
        <v>60</v>
      </c>
      <c r="B9" s="3083">
        <f>B20+B31+B42+B53+B64+B75+B86+B97+B108+B119+B130+B141+B152+B163+B174+B185</f>
        <v>403</v>
      </c>
      <c r="C9" s="3068"/>
      <c r="D9" s="3069">
        <f>D20+D31+D42+D53+D64+D75+D86+D97+D108+D119+D130+D141+D152+D163+D174+D185</f>
        <v>415</v>
      </c>
      <c r="E9" s="3068"/>
      <c r="F9" s="3069">
        <f>F20+F31+F42+F53+F64+F75+F86+F97+F108+F119+F130+F141+F152+F163+F174+F185</f>
        <v>430</v>
      </c>
      <c r="G9" s="3068"/>
      <c r="H9" s="3069">
        <f>H20+H31+H42+H53+H64+H75+H86+H97+H108+H119+H130+H141+H152+H163+H174+H185</f>
        <v>521</v>
      </c>
      <c r="I9" s="3068"/>
      <c r="J9" s="3069">
        <f>J20+J31+J42+J53+J64+J75+J86+J97+J108+J119+J130+J141+J152+J163+J174+J185</f>
        <v>601</v>
      </c>
      <c r="K9" s="3068"/>
      <c r="L9" s="3069">
        <f>L20+L31+L42+L53+L64+L75+L86+L97+L108+L119+L130+L141+L152+L163+L174+L185</f>
        <v>500</v>
      </c>
      <c r="M9" s="74"/>
      <c r="N9" s="962">
        <f>AVERAGE(B9:F9)</f>
        <v>416</v>
      </c>
      <c r="O9" s="963"/>
      <c r="P9" s="962">
        <f>AVERAGE(H9:L9)</f>
        <v>540.66666666666663</v>
      </c>
      <c r="Q9" s="963"/>
      <c r="R9" s="964">
        <f>P9-N9</f>
        <v>124.66666666666663</v>
      </c>
      <c r="T9" s="3166"/>
    </row>
    <row r="10" spans="1:25" s="3170" customFormat="1">
      <c r="A10" s="3179" t="s">
        <v>57</v>
      </c>
      <c r="B10" s="3024">
        <f>B9/B8</f>
        <v>6.3554644377858377E-2</v>
      </c>
      <c r="C10" s="1480"/>
      <c r="D10" s="1479">
        <f>D9/D8</f>
        <v>6.334910700656389E-2</v>
      </c>
      <c r="E10" s="1480"/>
      <c r="F10" s="1479">
        <f>F9/F8</f>
        <v>5.5448098001289491E-2</v>
      </c>
      <c r="G10" s="1480"/>
      <c r="H10" s="1479">
        <f>H9/H8</f>
        <v>5.9204545454545454E-2</v>
      </c>
      <c r="I10" s="1480"/>
      <c r="J10" s="1479">
        <f>J9/J8</f>
        <v>5.3073119039208763E-2</v>
      </c>
      <c r="K10" s="1480"/>
      <c r="L10" s="1479">
        <f>L9/L8</f>
        <v>4.0779708017290597E-2</v>
      </c>
      <c r="M10" s="1480"/>
      <c r="N10" s="1376">
        <f>AVERAGE(B9:F9)/AVERAGE(B8:F8)</f>
        <v>6.0444616651329497E-2</v>
      </c>
      <c r="O10" s="1466"/>
      <c r="P10" s="1376">
        <f>AVERAGE(H9:L9)/AVERAGE(H8:L8)</f>
        <v>5.0084915856106221E-2</v>
      </c>
      <c r="Q10" s="1481"/>
      <c r="R10" s="1468">
        <f>P10-N10</f>
        <v>-1.0359700795223276E-2</v>
      </c>
      <c r="S10" s="2749"/>
    </row>
    <row r="11" spans="1:25">
      <c r="A11" s="15"/>
      <c r="B11" s="33"/>
      <c r="C11" s="34"/>
      <c r="D11" s="35"/>
      <c r="E11" s="34"/>
      <c r="F11" s="35"/>
      <c r="G11" s="34"/>
      <c r="H11" s="35"/>
      <c r="I11" s="34"/>
      <c r="J11" s="35"/>
      <c r="K11" s="34"/>
      <c r="L11" s="35"/>
      <c r="M11" s="34"/>
      <c r="N11" s="1469"/>
      <c r="O11" s="1470"/>
      <c r="P11" s="1469"/>
      <c r="Q11" s="1470"/>
      <c r="R11" s="1471"/>
    </row>
    <row r="12" spans="1:25">
      <c r="A12" s="17" t="s">
        <v>85</v>
      </c>
      <c r="B12" s="33"/>
      <c r="C12" s="34"/>
      <c r="D12" s="35"/>
      <c r="E12" s="34"/>
      <c r="F12" s="35"/>
      <c r="G12" s="34"/>
      <c r="H12" s="35"/>
      <c r="I12" s="34"/>
      <c r="J12" s="35"/>
      <c r="K12" s="34"/>
      <c r="L12" s="35"/>
      <c r="M12" s="34"/>
      <c r="N12" s="1469"/>
      <c r="O12" s="1470"/>
      <c r="P12" s="1469"/>
      <c r="Q12" s="1470"/>
      <c r="R12" s="1471"/>
    </row>
    <row r="13" spans="1:25">
      <c r="A13" s="15" t="s">
        <v>59</v>
      </c>
      <c r="B13" s="3083">
        <f>B24+B35+B46+B57+B68+B79+B90+B101+B112+B123+B134+B145+B156+B167+B178+B189</f>
        <v>21513</v>
      </c>
      <c r="C13" s="3084"/>
      <c r="D13" s="3085">
        <f>D24+D35+D46+D57+D68+D79+D90+D101+D112+D123+D134+D145+D156+D167+D178+D189</f>
        <v>21742</v>
      </c>
      <c r="E13" s="3084"/>
      <c r="F13" s="3085">
        <f>F24+F35+F46+F57+F68+F79+F90+F101+F112+F123+F134+F145+F156+F167+F178+F189</f>
        <v>21503</v>
      </c>
      <c r="G13" s="3084"/>
      <c r="H13" s="3085">
        <f>H24+H35+H46+H57+H68+H79+H90+H101+H112+H123+H134+H145+H156+H167+H178+H189</f>
        <v>22060</v>
      </c>
      <c r="I13" s="3084"/>
      <c r="J13" s="3085">
        <f>J24+J35+J46+J57+J68+J79+J90+J101+J112+J123+J134+J145+J156+J167+J178+J189</f>
        <v>22522</v>
      </c>
      <c r="K13" s="3084"/>
      <c r="L13" s="3085">
        <f>L24+L35+L46+L57+L68+L79+L90+L101+L112+L123+L134+L145+L156+L167+L178+L189</f>
        <v>22854</v>
      </c>
      <c r="M13" s="72"/>
      <c r="N13" s="962">
        <f>AVERAGE(B13:F13)</f>
        <v>21586</v>
      </c>
      <c r="O13" s="963"/>
      <c r="P13" s="962">
        <f>AVERAGE(H13:L13)</f>
        <v>22478.666666666668</v>
      </c>
      <c r="Q13" s="963"/>
      <c r="R13" s="964">
        <f>P13-N13</f>
        <v>892.66666666666788</v>
      </c>
    </row>
    <row r="14" spans="1:25">
      <c r="A14" s="15" t="s">
        <v>61</v>
      </c>
      <c r="B14" s="3083">
        <f>B25+B36+B47+B58+B69+B80+B91+B102+B113+B124+B135+B146+B157+B168+B179+B190</f>
        <v>5566</v>
      </c>
      <c r="C14" s="3068"/>
      <c r="D14" s="3069">
        <f>D25+D36+D47+D58+D69+D80+D91+D102+D113+D124+D135+D146+D157+D168+D179+D190</f>
        <v>5763</v>
      </c>
      <c r="E14" s="3068"/>
      <c r="F14" s="3069">
        <f>F25+F36+F47+F58+F69+F80+F91+F102+F113+F124+F135+F146+F157+F168+F179+F190</f>
        <v>5610</v>
      </c>
      <c r="G14" s="3068"/>
      <c r="H14" s="3069">
        <f>H25+H36+H47+H58+H69+H80+H91+H102+H113+H124+H135+H146+H157+H168+H179+H190</f>
        <v>5824</v>
      </c>
      <c r="I14" s="3068"/>
      <c r="J14" s="3069">
        <f>J25+J36+J47+J58+J69+J80+J91+J102+J113+J124+J135+J146+J157+J168+J179+J190</f>
        <v>6125</v>
      </c>
      <c r="K14" s="3068"/>
      <c r="L14" s="3069">
        <f>L25+L36+L47+L58+L69+L80+L91+L102+L113+L124+L135+L146+L157+L168+L179+L190</f>
        <v>6452</v>
      </c>
      <c r="M14" s="74"/>
      <c r="N14" s="962">
        <f>AVERAGE(B14:F14)</f>
        <v>5646.333333333333</v>
      </c>
      <c r="O14" s="963"/>
      <c r="P14" s="962">
        <f>AVERAGE(H14:L14)</f>
        <v>6133.666666666667</v>
      </c>
      <c r="Q14" s="963"/>
      <c r="R14" s="964">
        <f>P14-N14</f>
        <v>487.33333333333394</v>
      </c>
      <c r="T14" s="3166"/>
    </row>
    <row r="15" spans="1:25" s="3170" customFormat="1" ht="13.8" thickBot="1">
      <c r="A15" s="2796" t="s">
        <v>57</v>
      </c>
      <c r="B15" s="1390">
        <f>B14/B13</f>
        <v>0.2587272811788221</v>
      </c>
      <c r="C15" s="1383"/>
      <c r="D15" s="1379">
        <f>D14/D13</f>
        <v>0.26506301168245794</v>
      </c>
      <c r="E15" s="1383"/>
      <c r="F15" s="1379">
        <f>F14/F13</f>
        <v>0.26089382876807887</v>
      </c>
      <c r="G15" s="1383"/>
      <c r="H15" s="1379">
        <f>H14/H13</f>
        <v>0.26400725294650951</v>
      </c>
      <c r="I15" s="1383"/>
      <c r="J15" s="1379">
        <f>J14/J13</f>
        <v>0.27195630938637777</v>
      </c>
      <c r="K15" s="1383"/>
      <c r="L15" s="1379">
        <f>L14/L13</f>
        <v>0.28231381814999562</v>
      </c>
      <c r="M15" s="1383"/>
      <c r="N15" s="1472">
        <f>AVERAGE(B14:F14)/AVERAGE(B13:F13)</f>
        <v>0.26157385960035823</v>
      </c>
      <c r="O15" s="1473"/>
      <c r="P15" s="1472">
        <f>AVERAGE(H14:L14)/AVERAGE(H13:L13)</f>
        <v>0.2728661249184412</v>
      </c>
      <c r="Q15" s="1477"/>
      <c r="R15" s="1474">
        <f>P15-N15</f>
        <v>1.1292265318082972E-2</v>
      </c>
      <c r="S15" s="2749"/>
    </row>
    <row r="16" spans="1:25" s="67" customFormat="1" ht="13.8" thickBot="1">
      <c r="A16" s="40"/>
      <c r="B16" s="38"/>
      <c r="C16" s="38"/>
      <c r="D16" s="38"/>
      <c r="E16" s="38"/>
      <c r="F16" s="38"/>
      <c r="G16" s="38"/>
      <c r="H16" s="38"/>
      <c r="I16" s="38"/>
      <c r="J16" s="38"/>
      <c r="K16" s="38"/>
      <c r="L16" s="38"/>
      <c r="M16" s="38"/>
      <c r="N16" s="1475"/>
      <c r="O16" s="1476"/>
      <c r="P16" s="1475"/>
      <c r="Q16" s="1476"/>
      <c r="R16" s="1475"/>
      <c r="S16" s="3240"/>
      <c r="X16" s="3178"/>
      <c r="Y16" s="3178"/>
    </row>
    <row r="17" spans="1:30" s="1431" customFormat="1" ht="27.75" customHeight="1" thickBot="1">
      <c r="A17" s="442" t="s">
        <v>172</v>
      </c>
      <c r="B17" s="1436" t="s">
        <v>2</v>
      </c>
      <c r="C17" s="1437"/>
      <c r="D17" s="1438" t="s">
        <v>3</v>
      </c>
      <c r="E17" s="1437"/>
      <c r="F17" s="1439" t="s">
        <v>4</v>
      </c>
      <c r="G17" s="1437"/>
      <c r="H17" s="1435" t="s">
        <v>5</v>
      </c>
      <c r="I17" s="1437"/>
      <c r="J17" s="1435" t="s">
        <v>6</v>
      </c>
      <c r="K17" s="1437"/>
      <c r="L17" s="1435" t="s">
        <v>7</v>
      </c>
      <c r="M17" s="1437"/>
      <c r="N17" s="1384" t="s">
        <v>33</v>
      </c>
      <c r="O17" s="1378"/>
      <c r="P17" s="1384" t="s">
        <v>34</v>
      </c>
      <c r="Q17" s="1378"/>
      <c r="R17" s="1382" t="s">
        <v>35</v>
      </c>
      <c r="S17" s="3239"/>
      <c r="X17" s="3539"/>
      <c r="Y17" s="3539"/>
    </row>
    <row r="18" spans="1:30" s="1430" customFormat="1">
      <c r="A18" s="1440" t="s">
        <v>153</v>
      </c>
      <c r="B18" s="65"/>
      <c r="C18" s="45"/>
      <c r="D18" s="66"/>
      <c r="E18" s="45"/>
      <c r="F18" s="66"/>
      <c r="G18" s="45"/>
      <c r="H18" s="66"/>
      <c r="I18" s="45"/>
      <c r="J18" s="66"/>
      <c r="K18" s="45"/>
      <c r="L18" s="66"/>
      <c r="M18" s="45"/>
      <c r="N18" s="1389"/>
      <c r="O18" s="1381"/>
      <c r="P18" s="1389"/>
      <c r="Q18" s="1381"/>
      <c r="R18" s="1380"/>
      <c r="S18" s="2749"/>
      <c r="X18" s="3170"/>
      <c r="Y18" s="3170"/>
    </row>
    <row r="19" spans="1:30" s="1430" customFormat="1">
      <c r="A19" s="1432" t="s">
        <v>59</v>
      </c>
      <c r="B19" s="1442"/>
      <c r="C19" s="1443"/>
      <c r="D19" s="1444"/>
      <c r="E19" s="1443"/>
      <c r="F19" s="1444"/>
      <c r="G19" s="1443"/>
      <c r="H19" s="1444"/>
      <c r="I19" s="1443"/>
      <c r="J19" s="1444"/>
      <c r="K19" s="1443"/>
      <c r="L19" s="1444"/>
      <c r="M19" s="1443"/>
      <c r="N19" s="1391"/>
      <c r="O19" s="1388"/>
      <c r="P19" s="1391"/>
      <c r="Q19" s="1388"/>
      <c r="R19" s="1377"/>
      <c r="S19" s="2749"/>
      <c r="X19" s="3170"/>
      <c r="Y19" s="3170"/>
    </row>
    <row r="20" spans="1:30" s="1430" customFormat="1">
      <c r="A20" s="1432" t="s">
        <v>60</v>
      </c>
      <c r="B20" s="1445"/>
      <c r="C20" s="1446"/>
      <c r="D20" s="1447"/>
      <c r="E20" s="1446"/>
      <c r="F20" s="1447"/>
      <c r="G20" s="1446"/>
      <c r="H20" s="1447"/>
      <c r="I20" s="1446"/>
      <c r="J20" s="1447"/>
      <c r="K20" s="1446"/>
      <c r="L20" s="1447"/>
      <c r="M20" s="1446"/>
      <c r="N20" s="1391"/>
      <c r="O20" s="1388"/>
      <c r="P20" s="1391"/>
      <c r="Q20" s="1387"/>
      <c r="R20" s="1377"/>
      <c r="S20" s="2749"/>
      <c r="X20" s="3170"/>
      <c r="Y20" s="3170"/>
    </row>
    <row r="21" spans="1:30" s="1430" customFormat="1">
      <c r="A21" s="1432" t="s">
        <v>57</v>
      </c>
      <c r="B21" s="76"/>
      <c r="C21" s="77"/>
      <c r="D21" s="78"/>
      <c r="E21" s="77"/>
      <c r="F21" s="78"/>
      <c r="G21" s="77"/>
      <c r="H21" s="78"/>
      <c r="I21" s="77"/>
      <c r="J21" s="78"/>
      <c r="K21" s="77"/>
      <c r="L21" s="78"/>
      <c r="M21" s="77"/>
      <c r="N21" s="1376"/>
      <c r="O21" s="1466"/>
      <c r="P21" s="1376"/>
      <c r="Q21" s="1467"/>
      <c r="R21" s="1468"/>
      <c r="S21" s="2749"/>
      <c r="X21" s="3170"/>
      <c r="Y21" s="3170"/>
    </row>
    <row r="22" spans="1:30" s="1430" customFormat="1">
      <c r="A22" s="1432"/>
      <c r="B22" s="33"/>
      <c r="C22" s="34"/>
      <c r="D22" s="35"/>
      <c r="E22" s="34"/>
      <c r="F22" s="35"/>
      <c r="G22" s="34"/>
      <c r="H22" s="35"/>
      <c r="I22" s="34"/>
      <c r="J22" s="35"/>
      <c r="K22" s="34"/>
      <c r="L22" s="35"/>
      <c r="M22" s="34"/>
      <c r="N22" s="1469"/>
      <c r="O22" s="1470"/>
      <c r="P22" s="1469"/>
      <c r="Q22" s="1470"/>
      <c r="R22" s="1471"/>
      <c r="S22" s="2749"/>
      <c r="X22" s="3170"/>
      <c r="Y22" s="3170"/>
    </row>
    <row r="23" spans="1:30" s="1430" customFormat="1" ht="13.8" thickBot="1">
      <c r="A23" s="1433" t="s">
        <v>85</v>
      </c>
      <c r="B23" s="33"/>
      <c r="C23" s="34"/>
      <c r="D23" s="35"/>
      <c r="E23" s="34"/>
      <c r="F23" s="35"/>
      <c r="G23" s="34"/>
      <c r="H23" s="35"/>
      <c r="I23" s="34"/>
      <c r="J23" s="35"/>
      <c r="K23" s="34"/>
      <c r="L23" s="35"/>
      <c r="M23" s="34"/>
      <c r="N23" s="1469"/>
      <c r="O23" s="1470"/>
      <c r="P23" s="1469"/>
      <c r="Q23" s="1470"/>
      <c r="R23" s="1471"/>
      <c r="S23" s="2749"/>
      <c r="X23" s="3170"/>
      <c r="Y23" s="3170"/>
    </row>
    <row r="24" spans="1:30" s="1430" customFormat="1">
      <c r="A24" s="1432" t="s">
        <v>59</v>
      </c>
      <c r="B24" s="1392">
        <v>4437</v>
      </c>
      <c r="C24" s="216"/>
      <c r="D24" s="168">
        <v>4250</v>
      </c>
      <c r="E24" s="216"/>
      <c r="F24" s="168">
        <v>4092</v>
      </c>
      <c r="G24" s="216"/>
      <c r="H24" s="168">
        <v>4518</v>
      </c>
      <c r="I24" s="216"/>
      <c r="J24" s="168">
        <v>4360</v>
      </c>
      <c r="K24" s="216"/>
      <c r="L24" s="168">
        <v>4210</v>
      </c>
      <c r="M24" s="1443"/>
      <c r="N24" s="962">
        <f>AVERAGE(B24:F24)</f>
        <v>4259.666666666667</v>
      </c>
      <c r="O24" s="963"/>
      <c r="P24" s="962">
        <f>AVERAGE(H24:L24)</f>
        <v>4362.666666666667</v>
      </c>
      <c r="Q24" s="963"/>
      <c r="R24" s="964">
        <f>P24-N24</f>
        <v>103</v>
      </c>
      <c r="S24" s="2749"/>
      <c r="T24" s="4483" t="s">
        <v>367</v>
      </c>
      <c r="U24" s="4484"/>
      <c r="V24" s="4484"/>
      <c r="W24" s="4484"/>
      <c r="X24" s="4484"/>
      <c r="Y24" s="4484"/>
      <c r="Z24" s="4484"/>
      <c r="AA24" s="4484"/>
      <c r="AB24" s="4484"/>
      <c r="AC24" s="4484"/>
      <c r="AD24" s="4485"/>
    </row>
    <row r="25" spans="1:30" s="1430" customFormat="1" ht="13.8" thickBot="1">
      <c r="A25" s="1432" t="s">
        <v>61</v>
      </c>
      <c r="B25" s="1463">
        <v>1980</v>
      </c>
      <c r="C25" s="1464"/>
      <c r="D25" s="1465">
        <v>2026</v>
      </c>
      <c r="E25" s="1464"/>
      <c r="F25" s="1465">
        <v>1836</v>
      </c>
      <c r="G25" s="1464"/>
      <c r="H25" s="1465">
        <v>2051</v>
      </c>
      <c r="I25" s="1464"/>
      <c r="J25" s="1465">
        <v>2127</v>
      </c>
      <c r="K25" s="1464"/>
      <c r="L25" s="1465">
        <v>2209</v>
      </c>
      <c r="M25" s="1446"/>
      <c r="N25" s="962">
        <f>AVERAGE(B25:F25)</f>
        <v>1947.3333333333333</v>
      </c>
      <c r="O25" s="963"/>
      <c r="P25" s="962">
        <f>AVERAGE(H25:L25)</f>
        <v>2129</v>
      </c>
      <c r="Q25" s="963"/>
      <c r="R25" s="964">
        <f>P25-N25</f>
        <v>181.66666666666674</v>
      </c>
      <c r="S25" s="2749"/>
      <c r="T25" s="3052">
        <v>2006</v>
      </c>
      <c r="U25" s="3032"/>
      <c r="V25" s="3032">
        <v>2007</v>
      </c>
      <c r="W25" s="3032"/>
      <c r="X25" s="3032">
        <v>2008</v>
      </c>
      <c r="Y25" s="3032"/>
      <c r="Z25" s="3032">
        <v>2009</v>
      </c>
      <c r="AA25" s="3032"/>
      <c r="AB25" s="3032">
        <v>2010</v>
      </c>
      <c r="AC25" s="3032"/>
      <c r="AD25" s="3545">
        <v>2011</v>
      </c>
    </row>
    <row r="26" spans="1:30" s="1448" customFormat="1" ht="13.8" thickBot="1">
      <c r="A26" s="105" t="s">
        <v>57</v>
      </c>
      <c r="B26" s="1390">
        <f>B25/B24</f>
        <v>0.44624746450304259</v>
      </c>
      <c r="C26" s="1383"/>
      <c r="D26" s="1379">
        <f>D25/D24</f>
        <v>0.4767058823529412</v>
      </c>
      <c r="E26" s="1383"/>
      <c r="F26" s="1379">
        <f>F25/F24</f>
        <v>0.44868035190615835</v>
      </c>
      <c r="G26" s="1383"/>
      <c r="H26" s="1379">
        <f>H25/H24</f>
        <v>0.45396193005754759</v>
      </c>
      <c r="I26" s="1383"/>
      <c r="J26" s="1379">
        <f>J25/J24</f>
        <v>0.48784403669724768</v>
      </c>
      <c r="K26" s="1383"/>
      <c r="L26" s="1379">
        <f>L25/L24</f>
        <v>0.52470308788598574</v>
      </c>
      <c r="M26" s="1383"/>
      <c r="N26" s="1472">
        <f>AVERAGE(B25:F25)/AVERAGE(B24:F24)</f>
        <v>0.45715627200876435</v>
      </c>
      <c r="O26" s="1473"/>
      <c r="P26" s="1472">
        <f>AVERAGE(H25:L25)/AVERAGE(H24:L24)</f>
        <v>0.4880042787286063</v>
      </c>
      <c r="Q26" s="1477"/>
      <c r="R26" s="1474">
        <f>P26-N26</f>
        <v>3.0848006719841947E-2</v>
      </c>
      <c r="S26" s="2749"/>
      <c r="T26" s="3553">
        <f>B25/'Overall Degree Completion PMS I'!B23</f>
        <v>0.48375274859516249</v>
      </c>
      <c r="U26" s="3554"/>
      <c r="V26" s="3554">
        <f>D25/'Overall Degree Completion PMS I'!D23</f>
        <v>0.49791103465224873</v>
      </c>
      <c r="W26" s="3554"/>
      <c r="X26" s="3554">
        <f>F25/'Overall Degree Completion PMS I'!F23</f>
        <v>0.46944515469189468</v>
      </c>
      <c r="Y26" s="3554"/>
      <c r="Z26" s="3554">
        <f>H25/'Overall Degree Completion PMS I'!H23</f>
        <v>0.52468662061908411</v>
      </c>
      <c r="AA26" s="3554"/>
      <c r="AB26" s="3554">
        <f>J25/'Overall Degree Completion PMS I'!J23</f>
        <v>0.502361832782239</v>
      </c>
      <c r="AC26" s="3554"/>
      <c r="AD26" s="3555">
        <f>L25/'Overall Degree Completion PMS I'!L23</f>
        <v>0.51276694521819866</v>
      </c>
    </row>
    <row r="27" spans="1:30" s="1459" customFormat="1" ht="13.8" thickBot="1">
      <c r="A27" s="1452"/>
      <c r="B27" s="38"/>
      <c r="C27" s="38"/>
      <c r="D27" s="38"/>
      <c r="E27" s="38"/>
      <c r="F27" s="38"/>
      <c r="G27" s="38"/>
      <c r="H27" s="38"/>
      <c r="I27" s="38"/>
      <c r="J27" s="38"/>
      <c r="K27" s="38"/>
      <c r="L27" s="38"/>
      <c r="M27" s="38"/>
      <c r="N27" s="1475"/>
      <c r="O27" s="1476"/>
      <c r="P27" s="1475"/>
      <c r="Q27" s="1476"/>
      <c r="R27" s="1475"/>
      <c r="S27" s="3240"/>
      <c r="X27" s="3178"/>
      <c r="Y27" s="3178"/>
    </row>
    <row r="28" spans="1:30" s="1449" customFormat="1" ht="30" customHeight="1" thickBot="1">
      <c r="A28" s="442" t="s">
        <v>174</v>
      </c>
      <c r="B28" s="1454" t="s">
        <v>2</v>
      </c>
      <c r="C28" s="1455"/>
      <c r="D28" s="1456" t="s">
        <v>3</v>
      </c>
      <c r="E28" s="1455"/>
      <c r="F28" s="1457" t="s">
        <v>4</v>
      </c>
      <c r="G28" s="1455"/>
      <c r="H28" s="1453" t="s">
        <v>5</v>
      </c>
      <c r="I28" s="1455"/>
      <c r="J28" s="1453" t="s">
        <v>6</v>
      </c>
      <c r="K28" s="1455"/>
      <c r="L28" s="1453" t="s">
        <v>7</v>
      </c>
      <c r="M28" s="1455"/>
      <c r="N28" s="1384" t="s">
        <v>33</v>
      </c>
      <c r="O28" s="1378"/>
      <c r="P28" s="1384" t="s">
        <v>34</v>
      </c>
      <c r="Q28" s="1378"/>
      <c r="R28" s="1382" t="s">
        <v>35</v>
      </c>
      <c r="S28" s="3239"/>
      <c r="X28" s="3539"/>
      <c r="Y28" s="3539"/>
    </row>
    <row r="29" spans="1:30" s="1448" customFormat="1">
      <c r="A29" s="1458" t="s">
        <v>153</v>
      </c>
      <c r="B29" s="65"/>
      <c r="C29" s="45"/>
      <c r="D29" s="66"/>
      <c r="E29" s="45"/>
      <c r="F29" s="66"/>
      <c r="G29" s="45"/>
      <c r="H29" s="66"/>
      <c r="I29" s="45"/>
      <c r="J29" s="66"/>
      <c r="K29" s="45"/>
      <c r="L29" s="66"/>
      <c r="M29" s="45"/>
      <c r="N29" s="1389"/>
      <c r="O29" s="1381"/>
      <c r="P29" s="1389"/>
      <c r="Q29" s="1381"/>
      <c r="R29" s="1380"/>
      <c r="S29" s="2749"/>
      <c r="X29" s="3170"/>
      <c r="Y29" s="3170"/>
    </row>
    <row r="30" spans="1:30" s="1448" customFormat="1">
      <c r="A30" s="1450" t="s">
        <v>59</v>
      </c>
      <c r="B30" s="1460"/>
      <c r="C30" s="1461"/>
      <c r="D30" s="1462"/>
      <c r="E30" s="1461"/>
      <c r="F30" s="1462"/>
      <c r="G30" s="1461"/>
      <c r="H30" s="1462"/>
      <c r="I30" s="1461"/>
      <c r="J30" s="1462"/>
      <c r="K30" s="1461"/>
      <c r="L30" s="1462"/>
      <c r="M30" s="1461"/>
      <c r="N30" s="1391"/>
      <c r="O30" s="1388"/>
      <c r="P30" s="1391"/>
      <c r="Q30" s="1388"/>
      <c r="R30" s="1377"/>
      <c r="S30" s="2749"/>
      <c r="X30" s="3170"/>
      <c r="Y30" s="3170"/>
    </row>
    <row r="31" spans="1:30" s="1448" customFormat="1">
      <c r="A31" s="1450" t="s">
        <v>60</v>
      </c>
      <c r="B31" s="1463"/>
      <c r="C31" s="1464"/>
      <c r="D31" s="1465"/>
      <c r="E31" s="1464"/>
      <c r="F31" s="1465"/>
      <c r="G31" s="1464"/>
      <c r="H31" s="1465"/>
      <c r="I31" s="1464"/>
      <c r="J31" s="1465"/>
      <c r="K31" s="1464"/>
      <c r="L31" s="1465"/>
      <c r="M31" s="1464"/>
      <c r="N31" s="1391"/>
      <c r="O31" s="1388"/>
      <c r="P31" s="1391"/>
      <c r="Q31" s="1387"/>
      <c r="R31" s="1377"/>
      <c r="S31" s="2749"/>
      <c r="X31" s="3170"/>
      <c r="Y31" s="3170"/>
    </row>
    <row r="32" spans="1:30" s="1448" customFormat="1">
      <c r="A32" s="1450" t="s">
        <v>57</v>
      </c>
      <c r="B32" s="76"/>
      <c r="C32" s="77"/>
      <c r="D32" s="78"/>
      <c r="E32" s="77"/>
      <c r="F32" s="78"/>
      <c r="G32" s="77"/>
      <c r="H32" s="78"/>
      <c r="I32" s="77"/>
      <c r="J32" s="78"/>
      <c r="K32" s="77"/>
      <c r="L32" s="78"/>
      <c r="M32" s="77"/>
      <c r="N32" s="1376"/>
      <c r="O32" s="1466"/>
      <c r="P32" s="1376"/>
      <c r="Q32" s="1467"/>
      <c r="R32" s="1468"/>
      <c r="S32" s="2749"/>
      <c r="X32" s="3170"/>
      <c r="Y32" s="3170"/>
    </row>
    <row r="33" spans="1:30" s="1448" customFormat="1">
      <c r="A33" s="1450"/>
      <c r="B33" s="33"/>
      <c r="C33" s="34"/>
      <c r="D33" s="35"/>
      <c r="E33" s="34"/>
      <c r="F33" s="35"/>
      <c r="G33" s="34"/>
      <c r="H33" s="35"/>
      <c r="I33" s="34"/>
      <c r="J33" s="35"/>
      <c r="K33" s="34"/>
      <c r="L33" s="35"/>
      <c r="M33" s="34"/>
      <c r="N33" s="1469"/>
      <c r="O33" s="1470"/>
      <c r="P33" s="1469"/>
      <c r="Q33" s="1470"/>
      <c r="R33" s="1471"/>
      <c r="S33" s="2749"/>
      <c r="X33" s="3170"/>
      <c r="Y33" s="3170"/>
    </row>
    <row r="34" spans="1:30" s="1448" customFormat="1" ht="13.8" thickBot="1">
      <c r="A34" s="1451" t="s">
        <v>85</v>
      </c>
      <c r="B34" s="33"/>
      <c r="C34" s="34"/>
      <c r="D34" s="35"/>
      <c r="E34" s="34"/>
      <c r="F34" s="35"/>
      <c r="G34" s="34"/>
      <c r="H34" s="35"/>
      <c r="I34" s="34"/>
      <c r="J34" s="35"/>
      <c r="K34" s="34"/>
      <c r="L34" s="35"/>
      <c r="M34" s="34"/>
      <c r="N34" s="1469"/>
      <c r="O34" s="1470"/>
      <c r="P34" s="1469"/>
      <c r="Q34" s="1470"/>
      <c r="R34" s="1471"/>
      <c r="S34" s="2749"/>
      <c r="X34" s="3170"/>
      <c r="Y34" s="3170"/>
    </row>
    <row r="35" spans="1:30" s="1448" customFormat="1">
      <c r="A35" s="1450" t="s">
        <v>59</v>
      </c>
      <c r="B35" s="1392">
        <v>174</v>
      </c>
      <c r="C35" s="216"/>
      <c r="D35" s="168">
        <v>188</v>
      </c>
      <c r="E35" s="216"/>
      <c r="F35" s="168">
        <v>198</v>
      </c>
      <c r="G35" s="216"/>
      <c r="H35" s="168">
        <v>190</v>
      </c>
      <c r="I35" s="216"/>
      <c r="J35" s="168">
        <v>175</v>
      </c>
      <c r="K35" s="216"/>
      <c r="L35" s="168">
        <v>212</v>
      </c>
      <c r="M35" s="1461"/>
      <c r="N35" s="962">
        <f>AVERAGE(B35:F35)</f>
        <v>186.66666666666666</v>
      </c>
      <c r="O35" s="963"/>
      <c r="P35" s="962">
        <f>AVERAGE(H35:L35)</f>
        <v>192.33333333333334</v>
      </c>
      <c r="Q35" s="963"/>
      <c r="R35" s="964">
        <f>P35-N35</f>
        <v>5.6666666666666856</v>
      </c>
      <c r="S35" s="2749"/>
      <c r="T35" s="4483" t="s">
        <v>367</v>
      </c>
      <c r="U35" s="4484"/>
      <c r="V35" s="4484"/>
      <c r="W35" s="4484"/>
      <c r="X35" s="4484"/>
      <c r="Y35" s="4484"/>
      <c r="Z35" s="4484"/>
      <c r="AA35" s="4484"/>
      <c r="AB35" s="4484"/>
      <c r="AC35" s="4484"/>
      <c r="AD35" s="4485"/>
    </row>
    <row r="36" spans="1:30" s="1448" customFormat="1" ht="13.8" thickBot="1">
      <c r="A36" s="1450" t="s">
        <v>61</v>
      </c>
      <c r="B36" s="1505">
        <v>11</v>
      </c>
      <c r="C36" s="1506"/>
      <c r="D36" s="1507">
        <v>17</v>
      </c>
      <c r="E36" s="1506"/>
      <c r="F36" s="1507">
        <v>11</v>
      </c>
      <c r="G36" s="1506"/>
      <c r="H36" s="1507">
        <v>9</v>
      </c>
      <c r="I36" s="1506"/>
      <c r="J36" s="1507">
        <v>9</v>
      </c>
      <c r="K36" s="1506"/>
      <c r="L36" s="1507">
        <v>18</v>
      </c>
      <c r="M36" s="1464"/>
      <c r="N36" s="962">
        <f>AVERAGE(B36:F36)</f>
        <v>13</v>
      </c>
      <c r="O36" s="963"/>
      <c r="P36" s="962">
        <f>AVERAGE(H36:L36)</f>
        <v>12</v>
      </c>
      <c r="Q36" s="963"/>
      <c r="R36" s="964">
        <f>P36-N36</f>
        <v>-1</v>
      </c>
      <c r="S36" s="2749"/>
      <c r="T36" s="3052">
        <v>2006</v>
      </c>
      <c r="U36" s="3032"/>
      <c r="V36" s="3032">
        <v>2007</v>
      </c>
      <c r="W36" s="3032"/>
      <c r="X36" s="3032">
        <v>2008</v>
      </c>
      <c r="Y36" s="3032"/>
      <c r="Z36" s="3032">
        <v>2009</v>
      </c>
      <c r="AA36" s="3032"/>
      <c r="AB36" s="3032">
        <v>2010</v>
      </c>
      <c r="AC36" s="3032"/>
      <c r="AD36" s="3545">
        <v>2011</v>
      </c>
    </row>
    <row r="37" spans="1:30" s="1448" customFormat="1" ht="13.8" thickBot="1">
      <c r="A37" s="105" t="s">
        <v>57</v>
      </c>
      <c r="B37" s="1390">
        <f>B36/B35</f>
        <v>6.3218390804597707E-2</v>
      </c>
      <c r="C37" s="1383"/>
      <c r="D37" s="1379">
        <f>D36/D35</f>
        <v>9.0425531914893623E-2</v>
      </c>
      <c r="E37" s="1383"/>
      <c r="F37" s="1379">
        <f>F36/F35</f>
        <v>5.5555555555555552E-2</v>
      </c>
      <c r="G37" s="1383"/>
      <c r="H37" s="1379">
        <f>H36/H35</f>
        <v>4.736842105263158E-2</v>
      </c>
      <c r="I37" s="1383"/>
      <c r="J37" s="1379">
        <f>J36/J35</f>
        <v>5.1428571428571428E-2</v>
      </c>
      <c r="K37" s="1383"/>
      <c r="L37" s="1379">
        <f>L36/L35</f>
        <v>8.4905660377358486E-2</v>
      </c>
      <c r="M37" s="1383"/>
      <c r="N37" s="1472">
        <f>AVERAGE(B36:F36)/AVERAGE(B35:F35)</f>
        <v>6.9642857142857145E-2</v>
      </c>
      <c r="O37" s="1473"/>
      <c r="P37" s="1472">
        <f>AVERAGE(H36:L36)/AVERAGE(H35:L35)</f>
        <v>6.2391681109185436E-2</v>
      </c>
      <c r="Q37" s="1477"/>
      <c r="R37" s="1474">
        <f>P37-N37</f>
        <v>-7.2511760336717093E-3</v>
      </c>
      <c r="S37" s="2749"/>
      <c r="T37" s="3553">
        <f>B36/'Overall Degree Completion PMS I'!B35</f>
        <v>6.358381502890173E-2</v>
      </c>
      <c r="U37" s="3554"/>
      <c r="V37" s="3554">
        <f>D36/'Overall Degree Completion PMS I'!D35</f>
        <v>8.2524271844660199E-2</v>
      </c>
      <c r="W37" s="3554"/>
      <c r="X37" s="3554">
        <f>F36/'Overall Degree Completion PMS I'!F35</f>
        <v>6.043956043956044E-2</v>
      </c>
      <c r="Y37" s="3554"/>
      <c r="Z37" s="3554">
        <f>H36/'Overall Degree Completion PMS I'!H35</f>
        <v>4.5454545454545456E-2</v>
      </c>
      <c r="AA37" s="3554"/>
      <c r="AB37" s="3554">
        <f>J36/'Overall Degree Completion PMS I'!J35</f>
        <v>3.5999999999999997E-2</v>
      </c>
      <c r="AC37" s="3554"/>
      <c r="AD37" s="3555">
        <f>L36/'Overall Degree Completion PMS I'!L35</f>
        <v>6.8181818181818177E-2</v>
      </c>
    </row>
    <row r="38" spans="1:30" s="1501" customFormat="1" ht="13.8" thickBot="1">
      <c r="A38" s="1494"/>
      <c r="B38" s="38"/>
      <c r="C38" s="38"/>
      <c r="D38" s="38"/>
      <c r="E38" s="38"/>
      <c r="F38" s="38"/>
      <c r="G38" s="38"/>
      <c r="H38" s="38"/>
      <c r="I38" s="38"/>
      <c r="J38" s="38"/>
      <c r="K38" s="38"/>
      <c r="L38" s="38"/>
      <c r="M38" s="38"/>
      <c r="N38" s="1475"/>
      <c r="O38" s="1476"/>
      <c r="P38" s="1475"/>
      <c r="Q38" s="1476"/>
      <c r="R38" s="1475"/>
      <c r="S38" s="3240"/>
      <c r="X38" s="3178"/>
      <c r="Y38" s="3178"/>
    </row>
    <row r="39" spans="1:30" s="1491" customFormat="1" ht="34.5" customHeight="1" thickBot="1">
      <c r="A39" s="442" t="s">
        <v>175</v>
      </c>
      <c r="B39" s="1496" t="s">
        <v>2</v>
      </c>
      <c r="C39" s="1497"/>
      <c r="D39" s="1498" t="s">
        <v>3</v>
      </c>
      <c r="E39" s="1497"/>
      <c r="F39" s="1499" t="s">
        <v>4</v>
      </c>
      <c r="G39" s="1497"/>
      <c r="H39" s="1495" t="s">
        <v>5</v>
      </c>
      <c r="I39" s="1497"/>
      <c r="J39" s="1495" t="s">
        <v>6</v>
      </c>
      <c r="K39" s="1497"/>
      <c r="L39" s="1495" t="s">
        <v>7</v>
      </c>
      <c r="M39" s="1497"/>
      <c r="N39" s="1384" t="s">
        <v>33</v>
      </c>
      <c r="O39" s="1378"/>
      <c r="P39" s="1384" t="s">
        <v>34</v>
      </c>
      <c r="Q39" s="1378"/>
      <c r="R39" s="1382" t="s">
        <v>35</v>
      </c>
      <c r="S39" s="3239"/>
      <c r="X39" s="3539"/>
      <c r="Y39" s="3539"/>
    </row>
    <row r="40" spans="1:30" s="1490" customFormat="1">
      <c r="A40" s="1500" t="s">
        <v>153</v>
      </c>
      <c r="B40" s="65"/>
      <c r="C40" s="45"/>
      <c r="D40" s="66"/>
      <c r="E40" s="45"/>
      <c r="F40" s="66"/>
      <c r="G40" s="45"/>
      <c r="H40" s="66"/>
      <c r="I40" s="45"/>
      <c r="J40" s="66"/>
      <c r="K40" s="45"/>
      <c r="L40" s="66"/>
      <c r="M40" s="45"/>
      <c r="N40" s="1389"/>
      <c r="O40" s="1381"/>
      <c r="P40" s="1389"/>
      <c r="Q40" s="1381"/>
      <c r="R40" s="1380"/>
      <c r="S40" s="2749"/>
      <c r="X40" s="3170"/>
      <c r="Y40" s="3170"/>
    </row>
    <row r="41" spans="1:30" s="1490" customFormat="1">
      <c r="A41" s="1492" t="s">
        <v>59</v>
      </c>
      <c r="B41" s="1502"/>
      <c r="C41" s="1503"/>
      <c r="D41" s="1504"/>
      <c r="E41" s="1503"/>
      <c r="F41" s="1504"/>
      <c r="G41" s="1503"/>
      <c r="H41" s="1504"/>
      <c r="I41" s="1503"/>
      <c r="J41" s="1504"/>
      <c r="K41" s="1503"/>
      <c r="L41" s="1504"/>
      <c r="M41" s="1503"/>
      <c r="N41" s="1391"/>
      <c r="O41" s="1388"/>
      <c r="P41" s="1391"/>
      <c r="Q41" s="1388"/>
      <c r="R41" s="1377"/>
      <c r="S41" s="2749"/>
      <c r="X41" s="3170"/>
      <c r="Y41" s="3170"/>
    </row>
    <row r="42" spans="1:30" s="1490" customFormat="1">
      <c r="A42" s="1492" t="s">
        <v>60</v>
      </c>
      <c r="B42" s="1505"/>
      <c r="C42" s="1506"/>
      <c r="D42" s="1507"/>
      <c r="E42" s="1506"/>
      <c r="F42" s="1507"/>
      <c r="G42" s="1506"/>
      <c r="H42" s="1507"/>
      <c r="I42" s="1506"/>
      <c r="J42" s="1507"/>
      <c r="K42" s="1506"/>
      <c r="L42" s="1507"/>
      <c r="M42" s="1506"/>
      <c r="N42" s="1391"/>
      <c r="O42" s="1388"/>
      <c r="P42" s="1391"/>
      <c r="Q42" s="1387"/>
      <c r="R42" s="1377"/>
      <c r="S42" s="2749"/>
      <c r="X42" s="3170"/>
      <c r="Y42" s="3170"/>
    </row>
    <row r="43" spans="1:30" s="1490" customFormat="1">
      <c r="A43" s="1492" t="s">
        <v>57</v>
      </c>
      <c r="B43" s="76"/>
      <c r="C43" s="77"/>
      <c r="D43" s="78"/>
      <c r="E43" s="77"/>
      <c r="F43" s="78"/>
      <c r="G43" s="77"/>
      <c r="H43" s="78"/>
      <c r="I43" s="77"/>
      <c r="J43" s="78"/>
      <c r="K43" s="77"/>
      <c r="L43" s="78"/>
      <c r="M43" s="77"/>
      <c r="N43" s="1376"/>
      <c r="O43" s="1466"/>
      <c r="P43" s="1376"/>
      <c r="Q43" s="1467"/>
      <c r="R43" s="1468"/>
      <c r="S43" s="2749"/>
      <c r="X43" s="3170"/>
      <c r="Y43" s="3170"/>
    </row>
    <row r="44" spans="1:30" s="1490" customFormat="1">
      <c r="A44" s="1492"/>
      <c r="B44" s="33"/>
      <c r="C44" s="34"/>
      <c r="D44" s="35"/>
      <c r="E44" s="34"/>
      <c r="F44" s="35"/>
      <c r="G44" s="34"/>
      <c r="H44" s="35"/>
      <c r="I44" s="34"/>
      <c r="J44" s="35"/>
      <c r="K44" s="34"/>
      <c r="L44" s="35"/>
      <c r="M44" s="34"/>
      <c r="N44" s="1469"/>
      <c r="O44" s="1470"/>
      <c r="P44" s="1469"/>
      <c r="Q44" s="1470"/>
      <c r="R44" s="1471"/>
      <c r="S44" s="2749"/>
      <c r="X44" s="3170"/>
      <c r="Y44" s="3170"/>
    </row>
    <row r="45" spans="1:30" s="1490" customFormat="1" ht="13.8" thickBot="1">
      <c r="A45" s="1493" t="s">
        <v>85</v>
      </c>
      <c r="B45" s="33"/>
      <c r="C45" s="34"/>
      <c r="D45" s="35"/>
      <c r="E45" s="34"/>
      <c r="F45" s="35"/>
      <c r="G45" s="34"/>
      <c r="H45" s="35"/>
      <c r="I45" s="34"/>
      <c r="J45" s="35"/>
      <c r="K45" s="34"/>
      <c r="L45" s="35"/>
      <c r="M45" s="34"/>
      <c r="N45" s="1469"/>
      <c r="O45" s="1470"/>
      <c r="P45" s="1469"/>
      <c r="Q45" s="1470"/>
      <c r="R45" s="1471"/>
      <c r="S45" s="2749"/>
      <c r="X45" s="3170"/>
      <c r="Y45" s="3170"/>
    </row>
    <row r="46" spans="1:30" s="1490" customFormat="1">
      <c r="A46" s="1492" t="s">
        <v>59</v>
      </c>
      <c r="B46" s="1392">
        <v>272</v>
      </c>
      <c r="C46" s="216"/>
      <c r="D46" s="168">
        <v>306</v>
      </c>
      <c r="E46" s="216"/>
      <c r="F46" s="168">
        <v>323</v>
      </c>
      <c r="G46" s="216"/>
      <c r="H46" s="168">
        <v>365</v>
      </c>
      <c r="I46" s="216"/>
      <c r="J46" s="168">
        <v>321</v>
      </c>
      <c r="K46" s="216"/>
      <c r="L46" s="168">
        <v>372</v>
      </c>
      <c r="M46" s="1503"/>
      <c r="N46" s="962">
        <f>AVERAGE(B46:F46)</f>
        <v>300.33333333333331</v>
      </c>
      <c r="O46" s="963"/>
      <c r="P46" s="962">
        <f>AVERAGE(H46:L46)</f>
        <v>352.66666666666669</v>
      </c>
      <c r="Q46" s="963"/>
      <c r="R46" s="964">
        <f>P46-N46</f>
        <v>52.333333333333371</v>
      </c>
      <c r="S46" s="2749"/>
      <c r="T46" s="4483" t="s">
        <v>367</v>
      </c>
      <c r="U46" s="4484"/>
      <c r="V46" s="4484"/>
      <c r="W46" s="4484"/>
      <c r="X46" s="4484"/>
      <c r="Y46" s="4484"/>
      <c r="Z46" s="4484"/>
      <c r="AA46" s="4484"/>
      <c r="AB46" s="4484"/>
      <c r="AC46" s="4484"/>
      <c r="AD46" s="4485"/>
    </row>
    <row r="47" spans="1:30" s="1490" customFormat="1" ht="13.8" thickBot="1">
      <c r="A47" s="1492" t="s">
        <v>61</v>
      </c>
      <c r="B47" s="1523">
        <v>27</v>
      </c>
      <c r="C47" s="1524"/>
      <c r="D47" s="1525">
        <v>27</v>
      </c>
      <c r="E47" s="1524"/>
      <c r="F47" s="1525">
        <v>18</v>
      </c>
      <c r="G47" s="1524"/>
      <c r="H47" s="1525">
        <v>31</v>
      </c>
      <c r="I47" s="1524"/>
      <c r="J47" s="1525">
        <v>26</v>
      </c>
      <c r="K47" s="1524"/>
      <c r="L47" s="1525">
        <v>26</v>
      </c>
      <c r="M47" s="1506"/>
      <c r="N47" s="962">
        <f>AVERAGE(B47:F47)</f>
        <v>24</v>
      </c>
      <c r="O47" s="963"/>
      <c r="P47" s="962">
        <f>AVERAGE(H47:L47)</f>
        <v>27.666666666666668</v>
      </c>
      <c r="Q47" s="963"/>
      <c r="R47" s="964">
        <f>P47-N47</f>
        <v>3.6666666666666679</v>
      </c>
      <c r="S47" s="2749"/>
      <c r="T47" s="3052">
        <v>2006</v>
      </c>
      <c r="U47" s="3032"/>
      <c r="V47" s="3032">
        <v>2007</v>
      </c>
      <c r="W47" s="3032"/>
      <c r="X47" s="3032">
        <v>2008</v>
      </c>
      <c r="Y47" s="3032"/>
      <c r="Z47" s="3032">
        <v>2009</v>
      </c>
      <c r="AA47" s="3032"/>
      <c r="AB47" s="3032">
        <v>2010</v>
      </c>
      <c r="AC47" s="3032"/>
      <c r="AD47" s="3545">
        <v>2011</v>
      </c>
    </row>
    <row r="48" spans="1:30" s="1490" customFormat="1" ht="13.8" thickBot="1">
      <c r="A48" s="105" t="s">
        <v>57</v>
      </c>
      <c r="B48" s="1390">
        <f>B47/B46</f>
        <v>9.9264705882352935E-2</v>
      </c>
      <c r="C48" s="1383"/>
      <c r="D48" s="1379">
        <f>D47/D46</f>
        <v>8.8235294117647065E-2</v>
      </c>
      <c r="E48" s="1383"/>
      <c r="F48" s="1379">
        <f>F47/F46</f>
        <v>5.5727554179566562E-2</v>
      </c>
      <c r="G48" s="1383"/>
      <c r="H48" s="1379">
        <f>H47/H46</f>
        <v>8.4931506849315067E-2</v>
      </c>
      <c r="I48" s="1383"/>
      <c r="J48" s="1379">
        <f>J47/J46</f>
        <v>8.0996884735202487E-2</v>
      </c>
      <c r="K48" s="1383"/>
      <c r="L48" s="1379">
        <f>L47/L46</f>
        <v>6.9892473118279563E-2</v>
      </c>
      <c r="M48" s="1383"/>
      <c r="N48" s="1472">
        <f>AVERAGE(B47:F47)/AVERAGE(B46:F46)</f>
        <v>7.9911209766925645E-2</v>
      </c>
      <c r="O48" s="1473"/>
      <c r="P48" s="1472">
        <f>AVERAGE(H47:L47)/AVERAGE(H46:L46)</f>
        <v>7.8449905482041588E-2</v>
      </c>
      <c r="Q48" s="1477"/>
      <c r="R48" s="1474">
        <f>P48-N48</f>
        <v>-1.4613042848840574E-3</v>
      </c>
      <c r="S48" s="2749"/>
      <c r="T48" s="3553">
        <f>B47/'Overall Degree Completion PMS I'!B47</f>
        <v>0.10546875</v>
      </c>
      <c r="U48" s="3554"/>
      <c r="V48" s="3554">
        <f>D47/'Overall Degree Completion PMS I'!D47</f>
        <v>0.10266159695817491</v>
      </c>
      <c r="W48" s="3554"/>
      <c r="X48" s="3554">
        <f>F47/'Overall Degree Completion PMS I'!F47</f>
        <v>6.3829787234042548E-2</v>
      </c>
      <c r="Y48" s="3554"/>
      <c r="Z48" s="3554">
        <f>H47/'Overall Degree Completion PMS I'!H47</f>
        <v>9.5384615384615387E-2</v>
      </c>
      <c r="AA48" s="3554"/>
      <c r="AB48" s="3554">
        <f>J47/'Overall Degree Completion PMS I'!J47</f>
        <v>8.0996884735202487E-2</v>
      </c>
      <c r="AC48" s="3554"/>
      <c r="AD48" s="3555">
        <f>L47/'Overall Degree Completion PMS I'!L47</f>
        <v>6.7357512953367879E-2</v>
      </c>
    </row>
    <row r="49" spans="1:30" s="1519" customFormat="1" ht="13.8" thickBot="1">
      <c r="A49" s="1512"/>
      <c r="B49" s="38"/>
      <c r="C49" s="38"/>
      <c r="D49" s="38"/>
      <c r="E49" s="38"/>
      <c r="F49" s="38"/>
      <c r="G49" s="38"/>
      <c r="H49" s="38"/>
      <c r="I49" s="38"/>
      <c r="J49" s="38"/>
      <c r="K49" s="38"/>
      <c r="L49" s="38"/>
      <c r="M49" s="38"/>
      <c r="N49" s="1475"/>
      <c r="O49" s="1476"/>
      <c r="P49" s="1475"/>
      <c r="Q49" s="1476"/>
      <c r="R49" s="1475"/>
      <c r="S49" s="3240"/>
      <c r="X49" s="3178"/>
      <c r="Y49" s="3178"/>
    </row>
    <row r="50" spans="1:30" s="1509" customFormat="1" ht="21.75" customHeight="1" thickBot="1">
      <c r="A50" s="442" t="s">
        <v>176</v>
      </c>
      <c r="B50" s="1514" t="s">
        <v>2</v>
      </c>
      <c r="C50" s="1515"/>
      <c r="D50" s="1516" t="s">
        <v>3</v>
      </c>
      <c r="E50" s="1515"/>
      <c r="F50" s="1517" t="s">
        <v>4</v>
      </c>
      <c r="G50" s="1515"/>
      <c r="H50" s="1513" t="s">
        <v>5</v>
      </c>
      <c r="I50" s="1515"/>
      <c r="J50" s="1513" t="s">
        <v>6</v>
      </c>
      <c r="K50" s="1515"/>
      <c r="L50" s="1513" t="s">
        <v>7</v>
      </c>
      <c r="M50" s="1515"/>
      <c r="N50" s="1384" t="s">
        <v>33</v>
      </c>
      <c r="O50" s="1378"/>
      <c r="P50" s="1384" t="s">
        <v>34</v>
      </c>
      <c r="Q50" s="1378"/>
      <c r="R50" s="1382" t="s">
        <v>35</v>
      </c>
      <c r="S50" s="3239"/>
      <c r="X50" s="3539"/>
      <c r="Y50" s="3539"/>
    </row>
    <row r="51" spans="1:30" s="1508" customFormat="1">
      <c r="A51" s="1518" t="s">
        <v>153</v>
      </c>
      <c r="B51" s="65"/>
      <c r="C51" s="45"/>
      <c r="D51" s="66"/>
      <c r="E51" s="45"/>
      <c r="F51" s="66"/>
      <c r="G51" s="45"/>
      <c r="H51" s="66"/>
      <c r="I51" s="45"/>
      <c r="J51" s="66"/>
      <c r="K51" s="45"/>
      <c r="L51" s="66"/>
      <c r="M51" s="45"/>
      <c r="N51" s="1389"/>
      <c r="O51" s="1381"/>
      <c r="P51" s="1389"/>
      <c r="Q51" s="1381"/>
      <c r="R51" s="1380"/>
      <c r="S51" s="2749"/>
      <c r="X51" s="3170"/>
      <c r="Y51" s="3170"/>
    </row>
    <row r="52" spans="1:30" s="1508" customFormat="1">
      <c r="A52" s="1510" t="s">
        <v>59</v>
      </c>
      <c r="B52" s="1520"/>
      <c r="C52" s="1521"/>
      <c r="D52" s="1522"/>
      <c r="E52" s="1521"/>
      <c r="F52" s="1522"/>
      <c r="G52" s="1521"/>
      <c r="H52" s="1522"/>
      <c r="I52" s="1521"/>
      <c r="J52" s="1522"/>
      <c r="K52" s="1521"/>
      <c r="L52" s="1522"/>
      <c r="M52" s="1521"/>
      <c r="N52" s="1391"/>
      <c r="O52" s="1388"/>
      <c r="P52" s="1391"/>
      <c r="Q52" s="1388"/>
      <c r="R52" s="1377"/>
      <c r="S52" s="2749"/>
      <c r="X52" s="3170"/>
      <c r="Y52" s="3170"/>
    </row>
    <row r="53" spans="1:30" s="1508" customFormat="1">
      <c r="A53" s="1510" t="s">
        <v>60</v>
      </c>
      <c r="B53" s="1523"/>
      <c r="C53" s="1524"/>
      <c r="D53" s="1525"/>
      <c r="E53" s="1524"/>
      <c r="F53" s="1525"/>
      <c r="G53" s="1524"/>
      <c r="H53" s="1525"/>
      <c r="I53" s="1524"/>
      <c r="J53" s="1525"/>
      <c r="K53" s="1524"/>
      <c r="L53" s="1525"/>
      <c r="M53" s="1524"/>
      <c r="N53" s="1391"/>
      <c r="O53" s="1388"/>
      <c r="P53" s="1391"/>
      <c r="Q53" s="1387"/>
      <c r="R53" s="1377"/>
      <c r="S53" s="2749"/>
      <c r="X53" s="3170"/>
      <c r="Y53" s="3170"/>
    </row>
    <row r="54" spans="1:30" s="1508" customFormat="1">
      <c r="A54" s="1510" t="s">
        <v>57</v>
      </c>
      <c r="B54" s="76"/>
      <c r="C54" s="77"/>
      <c r="D54" s="78"/>
      <c r="E54" s="77"/>
      <c r="F54" s="78"/>
      <c r="G54" s="77"/>
      <c r="H54" s="78"/>
      <c r="I54" s="77"/>
      <c r="J54" s="78"/>
      <c r="K54" s="77"/>
      <c r="L54" s="78"/>
      <c r="M54" s="77"/>
      <c r="N54" s="1376"/>
      <c r="O54" s="1466"/>
      <c r="P54" s="1376"/>
      <c r="Q54" s="1467"/>
      <c r="R54" s="1468"/>
      <c r="S54" s="2749"/>
      <c r="X54" s="3170"/>
      <c r="Y54" s="3170"/>
    </row>
    <row r="55" spans="1:30" s="1508" customFormat="1">
      <c r="A55" s="1510"/>
      <c r="B55" s="33"/>
      <c r="C55" s="34"/>
      <c r="D55" s="35"/>
      <c r="E55" s="34"/>
      <c r="F55" s="35"/>
      <c r="G55" s="34"/>
      <c r="H55" s="35"/>
      <c r="I55" s="34"/>
      <c r="J55" s="35"/>
      <c r="K55" s="34"/>
      <c r="L55" s="35"/>
      <c r="M55" s="34"/>
      <c r="N55" s="1469"/>
      <c r="O55" s="1470"/>
      <c r="P55" s="1469"/>
      <c r="Q55" s="1470"/>
      <c r="R55" s="1471"/>
      <c r="S55" s="2749"/>
      <c r="X55" s="3170"/>
      <c r="Y55" s="3170"/>
    </row>
    <row r="56" spans="1:30" s="1508" customFormat="1" ht="13.8" thickBot="1">
      <c r="A56" s="1511" t="s">
        <v>85</v>
      </c>
      <c r="B56" s="33"/>
      <c r="C56" s="34"/>
      <c r="D56" s="35"/>
      <c r="E56" s="34"/>
      <c r="F56" s="35"/>
      <c r="G56" s="34"/>
      <c r="H56" s="35"/>
      <c r="I56" s="34"/>
      <c r="J56" s="35"/>
      <c r="K56" s="34"/>
      <c r="L56" s="35"/>
      <c r="M56" s="34"/>
      <c r="N56" s="1469"/>
      <c r="O56" s="1470"/>
      <c r="P56" s="1469"/>
      <c r="Q56" s="1470"/>
      <c r="R56" s="1471"/>
      <c r="S56" s="2749"/>
      <c r="X56" s="3170"/>
      <c r="Y56" s="3170"/>
    </row>
    <row r="57" spans="1:30" s="1508" customFormat="1">
      <c r="A57" s="1510" t="s">
        <v>59</v>
      </c>
      <c r="B57" s="1392">
        <v>445</v>
      </c>
      <c r="C57" s="216"/>
      <c r="D57" s="168">
        <v>515</v>
      </c>
      <c r="E57" s="216"/>
      <c r="F57" s="168">
        <v>501</v>
      </c>
      <c r="G57" s="216"/>
      <c r="H57" s="168">
        <v>406</v>
      </c>
      <c r="I57" s="216"/>
      <c r="J57" s="168">
        <v>475</v>
      </c>
      <c r="K57" s="216"/>
      <c r="L57" s="168">
        <v>498</v>
      </c>
      <c r="M57" s="1521"/>
      <c r="N57" s="962">
        <f>AVERAGE(B57:F57)</f>
        <v>487</v>
      </c>
      <c r="O57" s="963"/>
      <c r="P57" s="962">
        <f>AVERAGE(H57:L57)</f>
        <v>459.66666666666669</v>
      </c>
      <c r="Q57" s="963"/>
      <c r="R57" s="964">
        <f>P57-N57</f>
        <v>-27.333333333333314</v>
      </c>
      <c r="S57" s="2749"/>
      <c r="T57" s="4483" t="s">
        <v>367</v>
      </c>
      <c r="U57" s="4484"/>
      <c r="V57" s="4484"/>
      <c r="W57" s="4484"/>
      <c r="X57" s="4484"/>
      <c r="Y57" s="4484"/>
      <c r="Z57" s="4484"/>
      <c r="AA57" s="4484"/>
      <c r="AB57" s="4484"/>
      <c r="AC57" s="4484"/>
      <c r="AD57" s="4485"/>
    </row>
    <row r="58" spans="1:30" s="1508" customFormat="1" ht="13.8" thickBot="1">
      <c r="A58" s="1510" t="s">
        <v>61</v>
      </c>
      <c r="B58" s="1541">
        <v>38</v>
      </c>
      <c r="C58" s="1542"/>
      <c r="D58" s="1543">
        <v>48</v>
      </c>
      <c r="E58" s="1542"/>
      <c r="F58" s="1543">
        <v>28</v>
      </c>
      <c r="G58" s="1542"/>
      <c r="H58" s="1543">
        <v>33</v>
      </c>
      <c r="I58" s="1542"/>
      <c r="J58" s="1543">
        <v>30</v>
      </c>
      <c r="K58" s="1542"/>
      <c r="L58" s="1543">
        <v>38</v>
      </c>
      <c r="M58" s="1524"/>
      <c r="N58" s="962">
        <f>AVERAGE(B58:F58)</f>
        <v>38</v>
      </c>
      <c r="O58" s="963"/>
      <c r="P58" s="962">
        <f>AVERAGE(H58:L58)</f>
        <v>33.666666666666664</v>
      </c>
      <c r="Q58" s="963"/>
      <c r="R58" s="964">
        <f>P58-N58</f>
        <v>-4.3333333333333357</v>
      </c>
      <c r="S58" s="2749"/>
      <c r="T58" s="3052">
        <v>2006</v>
      </c>
      <c r="U58" s="3032"/>
      <c r="V58" s="3032">
        <v>2007</v>
      </c>
      <c r="W58" s="3032"/>
      <c r="X58" s="3032">
        <v>2008</v>
      </c>
      <c r="Y58" s="3032"/>
      <c r="Z58" s="3032">
        <v>2009</v>
      </c>
      <c r="AA58" s="3032"/>
      <c r="AB58" s="3032">
        <v>2010</v>
      </c>
      <c r="AC58" s="3032"/>
      <c r="AD58" s="3545">
        <v>2011</v>
      </c>
    </row>
    <row r="59" spans="1:30" s="1508" customFormat="1" ht="13.8" thickBot="1">
      <c r="A59" s="105" t="s">
        <v>57</v>
      </c>
      <c r="B59" s="1390">
        <f>B58/B57</f>
        <v>8.5393258426966295E-2</v>
      </c>
      <c r="C59" s="1383"/>
      <c r="D59" s="1379">
        <f>D58/D57</f>
        <v>9.3203883495145634E-2</v>
      </c>
      <c r="E59" s="1383"/>
      <c r="F59" s="1379">
        <f>F58/F57</f>
        <v>5.588822355289421E-2</v>
      </c>
      <c r="G59" s="1383"/>
      <c r="H59" s="1379">
        <f>H58/H57</f>
        <v>8.1280788177339899E-2</v>
      </c>
      <c r="I59" s="1383"/>
      <c r="J59" s="1379">
        <f>J58/J57</f>
        <v>6.3157894736842107E-2</v>
      </c>
      <c r="K59" s="1383"/>
      <c r="L59" s="1379">
        <f>L58/L57</f>
        <v>7.6305220883534142E-2</v>
      </c>
      <c r="M59" s="1383"/>
      <c r="N59" s="1472">
        <f>AVERAGE(B58:F58)/AVERAGE(B57:F57)</f>
        <v>7.8028747433264892E-2</v>
      </c>
      <c r="O59" s="1473"/>
      <c r="P59" s="1472">
        <f>AVERAGE(H58:L58)/AVERAGE(H57:L57)</f>
        <v>7.3241479332849885E-2</v>
      </c>
      <c r="Q59" s="1477"/>
      <c r="R59" s="1474">
        <f>P59-N59</f>
        <v>-4.7872681004150069E-3</v>
      </c>
      <c r="S59" s="2749"/>
      <c r="T59" s="3553">
        <f>B58/'Overall Degree Completion PMS I'!B59</f>
        <v>0.10526315789473684</v>
      </c>
      <c r="U59" s="3554"/>
      <c r="V59" s="3554">
        <f>D58/'Overall Degree Completion PMS I'!D59</f>
        <v>0.11764705882352941</v>
      </c>
      <c r="W59" s="3554"/>
      <c r="X59" s="3554">
        <f>F58/'Overall Degree Completion PMS I'!F59</f>
        <v>7.4468085106382975E-2</v>
      </c>
      <c r="Y59" s="3554"/>
      <c r="Z59" s="3554">
        <f>H58/'Overall Degree Completion PMS I'!H59</f>
        <v>9.4017094017094016E-2</v>
      </c>
      <c r="AA59" s="3554"/>
      <c r="AB59" s="3554">
        <f>J58/'Overall Degree Completion PMS I'!J59</f>
        <v>7.4626865671641784E-2</v>
      </c>
      <c r="AC59" s="3554"/>
      <c r="AD59" s="3555">
        <f>L58/'Overall Degree Completion PMS I'!L59</f>
        <v>8.2788671023965144E-2</v>
      </c>
    </row>
    <row r="60" spans="1:30" s="1537" customFormat="1" ht="13.8" thickBot="1">
      <c r="A60" s="1530"/>
      <c r="B60" s="38"/>
      <c r="C60" s="38"/>
      <c r="D60" s="38"/>
      <c r="E60" s="38"/>
      <c r="F60" s="38"/>
      <c r="G60" s="38"/>
      <c r="H60" s="38"/>
      <c r="I60" s="38"/>
      <c r="J60" s="38"/>
      <c r="K60" s="38"/>
      <c r="L60" s="38"/>
      <c r="M60" s="38"/>
      <c r="N60" s="1475"/>
      <c r="O60" s="1476"/>
      <c r="P60" s="1475"/>
      <c r="Q60" s="1476"/>
      <c r="R60" s="1475"/>
      <c r="S60" s="3240"/>
      <c r="X60" s="3178"/>
      <c r="Y60" s="3178"/>
    </row>
    <row r="61" spans="1:30" s="1527" customFormat="1" ht="21.75" customHeight="1" thickBot="1">
      <c r="A61" s="442" t="s">
        <v>177</v>
      </c>
      <c r="B61" s="1532" t="s">
        <v>2</v>
      </c>
      <c r="C61" s="1533"/>
      <c r="D61" s="1534" t="s">
        <v>3</v>
      </c>
      <c r="E61" s="1533"/>
      <c r="F61" s="1535" t="s">
        <v>4</v>
      </c>
      <c r="G61" s="1533"/>
      <c r="H61" s="1531" t="s">
        <v>5</v>
      </c>
      <c r="I61" s="1533"/>
      <c r="J61" s="1531" t="s">
        <v>6</v>
      </c>
      <c r="K61" s="1533"/>
      <c r="L61" s="1531" t="s">
        <v>7</v>
      </c>
      <c r="M61" s="1533"/>
      <c r="N61" s="1384" t="s">
        <v>33</v>
      </c>
      <c r="O61" s="1378"/>
      <c r="P61" s="1384" t="s">
        <v>34</v>
      </c>
      <c r="Q61" s="1378"/>
      <c r="R61" s="1382" t="s">
        <v>35</v>
      </c>
      <c r="S61" s="3239"/>
      <c r="X61" s="3539"/>
      <c r="Y61" s="3539"/>
    </row>
    <row r="62" spans="1:30" s="1526" customFormat="1">
      <c r="A62" s="1536" t="s">
        <v>153</v>
      </c>
      <c r="B62" s="65"/>
      <c r="C62" s="45"/>
      <c r="D62" s="66"/>
      <c r="E62" s="45"/>
      <c r="F62" s="66"/>
      <c r="G62" s="45"/>
      <c r="H62" s="66"/>
      <c r="I62" s="45"/>
      <c r="J62" s="66"/>
      <c r="K62" s="45"/>
      <c r="L62" s="66"/>
      <c r="M62" s="45"/>
      <c r="N62" s="1389"/>
      <c r="O62" s="1381"/>
      <c r="P62" s="1389"/>
      <c r="Q62" s="1381"/>
      <c r="R62" s="1380"/>
      <c r="S62" s="2749"/>
      <c r="X62" s="3170"/>
      <c r="Y62" s="3170"/>
    </row>
    <row r="63" spans="1:30" s="1526" customFormat="1">
      <c r="A63" s="1528" t="s">
        <v>59</v>
      </c>
      <c r="B63" s="1538"/>
      <c r="C63" s="1539"/>
      <c r="D63" s="1540"/>
      <c r="E63" s="1539"/>
      <c r="F63" s="1540"/>
      <c r="G63" s="1539"/>
      <c r="H63" s="1540"/>
      <c r="I63" s="1539"/>
      <c r="J63" s="1540"/>
      <c r="K63" s="1539"/>
      <c r="L63" s="1540"/>
      <c r="M63" s="1539"/>
      <c r="N63" s="1391"/>
      <c r="O63" s="1388"/>
      <c r="P63" s="1391"/>
      <c r="Q63" s="1388"/>
      <c r="R63" s="1377"/>
      <c r="S63" s="2749"/>
      <c r="X63" s="3170"/>
      <c r="Y63" s="3170"/>
    </row>
    <row r="64" spans="1:30" s="1526" customFormat="1">
      <c r="A64" s="1528" t="s">
        <v>60</v>
      </c>
      <c r="B64" s="1541"/>
      <c r="C64" s="1542"/>
      <c r="D64" s="1543"/>
      <c r="E64" s="1542"/>
      <c r="F64" s="1543"/>
      <c r="G64" s="1542"/>
      <c r="H64" s="1543"/>
      <c r="I64" s="1542"/>
      <c r="J64" s="1543"/>
      <c r="K64" s="1542"/>
      <c r="L64" s="1543"/>
      <c r="M64" s="1542"/>
      <c r="N64" s="1391"/>
      <c r="O64" s="1388"/>
      <c r="P64" s="1391"/>
      <c r="Q64" s="1387"/>
      <c r="R64" s="1377"/>
      <c r="S64" s="2749"/>
      <c r="X64" s="3170"/>
      <c r="Y64" s="3170"/>
    </row>
    <row r="65" spans="1:30" s="1526" customFormat="1">
      <c r="A65" s="1528" t="s">
        <v>57</v>
      </c>
      <c r="B65" s="76"/>
      <c r="C65" s="77"/>
      <c r="D65" s="78"/>
      <c r="E65" s="77"/>
      <c r="F65" s="78"/>
      <c r="G65" s="77"/>
      <c r="H65" s="78"/>
      <c r="I65" s="77"/>
      <c r="J65" s="78"/>
      <c r="K65" s="77"/>
      <c r="L65" s="78"/>
      <c r="M65" s="77"/>
      <c r="N65" s="1376"/>
      <c r="O65" s="1466"/>
      <c r="P65" s="1376"/>
      <c r="Q65" s="1467"/>
      <c r="R65" s="1468"/>
      <c r="S65" s="2749"/>
      <c r="X65" s="3170"/>
      <c r="Y65" s="3170"/>
    </row>
    <row r="66" spans="1:30" s="1526" customFormat="1">
      <c r="A66" s="1528"/>
      <c r="B66" s="33"/>
      <c r="C66" s="34"/>
      <c r="D66" s="35"/>
      <c r="E66" s="34"/>
      <c r="F66" s="35"/>
      <c r="G66" s="34"/>
      <c r="H66" s="35"/>
      <c r="I66" s="34"/>
      <c r="J66" s="35"/>
      <c r="K66" s="34"/>
      <c r="L66" s="35"/>
      <c r="M66" s="34"/>
      <c r="N66" s="1469"/>
      <c r="O66" s="1470"/>
      <c r="P66" s="1469"/>
      <c r="Q66" s="1470"/>
      <c r="R66" s="1471"/>
      <c r="S66" s="2749"/>
      <c r="X66" s="3170"/>
      <c r="Y66" s="3170"/>
    </row>
    <row r="67" spans="1:30" s="1526" customFormat="1" ht="13.8" thickBot="1">
      <c r="A67" s="1529" t="s">
        <v>85</v>
      </c>
      <c r="B67" s="33"/>
      <c r="C67" s="34"/>
      <c r="D67" s="35"/>
      <c r="E67" s="34"/>
      <c r="F67" s="35"/>
      <c r="G67" s="34"/>
      <c r="H67" s="35"/>
      <c r="I67" s="34"/>
      <c r="J67" s="35"/>
      <c r="K67" s="34"/>
      <c r="L67" s="35"/>
      <c r="M67" s="34"/>
      <c r="N67" s="1469"/>
      <c r="O67" s="1470"/>
      <c r="P67" s="1469"/>
      <c r="Q67" s="1470"/>
      <c r="R67" s="1471"/>
      <c r="S67" s="2749"/>
      <c r="X67" s="3170"/>
      <c r="Y67" s="3170"/>
    </row>
    <row r="68" spans="1:30" s="1526" customFormat="1">
      <c r="A68" s="1528" t="s">
        <v>59</v>
      </c>
      <c r="B68" s="1392">
        <v>570</v>
      </c>
      <c r="C68" s="216"/>
      <c r="D68" s="168">
        <v>634</v>
      </c>
      <c r="E68" s="216"/>
      <c r="F68" s="168">
        <v>599</v>
      </c>
      <c r="G68" s="216"/>
      <c r="H68" s="168">
        <v>713</v>
      </c>
      <c r="I68" s="216"/>
      <c r="J68" s="168">
        <v>673</v>
      </c>
      <c r="K68" s="216"/>
      <c r="L68" s="168">
        <v>761</v>
      </c>
      <c r="M68" s="1539"/>
      <c r="N68" s="962">
        <f>AVERAGE(B68:F68)</f>
        <v>601</v>
      </c>
      <c r="O68" s="963"/>
      <c r="P68" s="962">
        <f>AVERAGE(H68:L68)</f>
        <v>715.66666666666663</v>
      </c>
      <c r="Q68" s="963"/>
      <c r="R68" s="964">
        <f>P68-N68</f>
        <v>114.66666666666663</v>
      </c>
      <c r="S68" s="2749"/>
      <c r="T68" s="4483" t="s">
        <v>367</v>
      </c>
      <c r="U68" s="4484"/>
      <c r="V68" s="4484"/>
      <c r="W68" s="4484"/>
      <c r="X68" s="4484"/>
      <c r="Y68" s="4484"/>
      <c r="Z68" s="4484"/>
      <c r="AA68" s="4484"/>
      <c r="AB68" s="4484"/>
      <c r="AC68" s="4484"/>
      <c r="AD68" s="4485"/>
    </row>
    <row r="69" spans="1:30" s="1526" customFormat="1" ht="13.8" thickBot="1">
      <c r="A69" s="1528" t="s">
        <v>61</v>
      </c>
      <c r="B69" s="1559">
        <v>34</v>
      </c>
      <c r="C69" s="1560"/>
      <c r="D69" s="1561">
        <v>40</v>
      </c>
      <c r="E69" s="1560"/>
      <c r="F69" s="1561">
        <v>27</v>
      </c>
      <c r="G69" s="1560"/>
      <c r="H69" s="1561">
        <v>33</v>
      </c>
      <c r="I69" s="1560"/>
      <c r="J69" s="1561">
        <v>29</v>
      </c>
      <c r="K69" s="1560"/>
      <c r="L69" s="1561">
        <v>41</v>
      </c>
      <c r="M69" s="1542"/>
      <c r="N69" s="962">
        <f>AVERAGE(B69:F69)</f>
        <v>33.666666666666664</v>
      </c>
      <c r="O69" s="963"/>
      <c r="P69" s="962">
        <f>AVERAGE(H69:L69)</f>
        <v>34.333333333333336</v>
      </c>
      <c r="Q69" s="963"/>
      <c r="R69" s="964">
        <f>P69-N69</f>
        <v>0.6666666666666714</v>
      </c>
      <c r="S69" s="2749"/>
      <c r="T69" s="3052">
        <v>2006</v>
      </c>
      <c r="U69" s="3032"/>
      <c r="V69" s="3032">
        <v>2007</v>
      </c>
      <c r="W69" s="3032"/>
      <c r="X69" s="3032">
        <v>2008</v>
      </c>
      <c r="Y69" s="3032"/>
      <c r="Z69" s="3032">
        <v>2009</v>
      </c>
      <c r="AA69" s="3032"/>
      <c r="AB69" s="3032">
        <v>2010</v>
      </c>
      <c r="AC69" s="3032"/>
      <c r="AD69" s="3545">
        <v>2011</v>
      </c>
    </row>
    <row r="70" spans="1:30" s="1526" customFormat="1" ht="13.8" thickBot="1">
      <c r="A70" s="105" t="s">
        <v>57</v>
      </c>
      <c r="B70" s="1390">
        <f>B69/B68</f>
        <v>5.9649122807017542E-2</v>
      </c>
      <c r="C70" s="1383"/>
      <c r="D70" s="1379">
        <f>D69/D68</f>
        <v>6.3091482649842268E-2</v>
      </c>
      <c r="E70" s="1383"/>
      <c r="F70" s="1379">
        <f>F69/F68</f>
        <v>4.5075125208681135E-2</v>
      </c>
      <c r="G70" s="1383"/>
      <c r="H70" s="1379">
        <f>H69/H68</f>
        <v>4.6283309957924262E-2</v>
      </c>
      <c r="I70" s="1383"/>
      <c r="J70" s="1379">
        <f>J69/J68</f>
        <v>4.3090638930163447E-2</v>
      </c>
      <c r="K70" s="1383"/>
      <c r="L70" s="1379">
        <f>L69/L68</f>
        <v>5.387647831800263E-2</v>
      </c>
      <c r="M70" s="1383"/>
      <c r="N70" s="1472">
        <f>AVERAGE(B69:F69)/AVERAGE(B68:F68)</f>
        <v>5.6017748197448695E-2</v>
      </c>
      <c r="O70" s="1473"/>
      <c r="P70" s="1472">
        <f>AVERAGE(H69:L69)/AVERAGE(H68:L68)</f>
        <v>4.7973917093619006E-2</v>
      </c>
      <c r="Q70" s="1477"/>
      <c r="R70" s="1474">
        <f>P70-N70</f>
        <v>-8.0438311038296892E-3</v>
      </c>
      <c r="S70" s="2749"/>
      <c r="T70" s="3553">
        <f>B69/'Overall Degree Completion PMS I'!B71</f>
        <v>5.1515151515151514E-2</v>
      </c>
      <c r="U70" s="3554"/>
      <c r="V70" s="3554">
        <f>D69/'Overall Degree Completion PMS I'!D71</f>
        <v>8.1135902636916835E-2</v>
      </c>
      <c r="W70" s="3554"/>
      <c r="X70" s="3554">
        <f>F69/'Overall Degree Completion PMS I'!F71</f>
        <v>5.2837573385518588E-2</v>
      </c>
      <c r="Y70" s="3554"/>
      <c r="Z70" s="3554">
        <f>H69/'Overall Degree Completion PMS I'!H71</f>
        <v>5.246422893481717E-2</v>
      </c>
      <c r="AA70" s="3554"/>
      <c r="AB70" s="3554">
        <f>J69/'Overall Degree Completion PMS I'!J71</f>
        <v>5.2346570397111915E-2</v>
      </c>
      <c r="AC70" s="3554"/>
      <c r="AD70" s="3555">
        <f>L69/'Overall Degree Completion PMS I'!L71</f>
        <v>7.2056239015817217E-2</v>
      </c>
    </row>
    <row r="71" spans="1:30" s="1555" customFormat="1" ht="13.8" thickBot="1">
      <c r="A71" s="1548"/>
      <c r="B71" s="38"/>
      <c r="C71" s="38"/>
      <c r="D71" s="38"/>
      <c r="E71" s="38"/>
      <c r="F71" s="38"/>
      <c r="G71" s="38"/>
      <c r="H71" s="38"/>
      <c r="I71" s="38"/>
      <c r="J71" s="38"/>
      <c r="K71" s="38"/>
      <c r="L71" s="38"/>
      <c r="M71" s="38"/>
      <c r="N71" s="1475"/>
      <c r="O71" s="1476"/>
      <c r="P71" s="1475"/>
      <c r="Q71" s="1476"/>
      <c r="R71" s="1475"/>
      <c r="S71" s="3240"/>
      <c r="X71" s="3178"/>
      <c r="Y71" s="3178"/>
    </row>
    <row r="72" spans="1:30" s="1545" customFormat="1" ht="21.75" customHeight="1" thickBot="1">
      <c r="A72" s="442" t="s">
        <v>178</v>
      </c>
      <c r="B72" s="1550" t="s">
        <v>2</v>
      </c>
      <c r="C72" s="1551"/>
      <c r="D72" s="1552" t="s">
        <v>3</v>
      </c>
      <c r="E72" s="1551"/>
      <c r="F72" s="1553" t="s">
        <v>4</v>
      </c>
      <c r="G72" s="1551"/>
      <c r="H72" s="1549" t="s">
        <v>5</v>
      </c>
      <c r="I72" s="1551"/>
      <c r="J72" s="1549" t="s">
        <v>6</v>
      </c>
      <c r="K72" s="1551"/>
      <c r="L72" s="1549" t="s">
        <v>7</v>
      </c>
      <c r="M72" s="1551"/>
      <c r="N72" s="1384" t="s">
        <v>33</v>
      </c>
      <c r="O72" s="1378"/>
      <c r="P72" s="1384" t="s">
        <v>34</v>
      </c>
      <c r="Q72" s="1378"/>
      <c r="R72" s="1382" t="s">
        <v>35</v>
      </c>
      <c r="S72" s="3239"/>
      <c r="X72" s="3539"/>
      <c r="Y72" s="3539"/>
    </row>
    <row r="73" spans="1:30" s="1544" customFormat="1">
      <c r="A73" s="1554" t="s">
        <v>153</v>
      </c>
      <c r="B73" s="65"/>
      <c r="C73" s="45"/>
      <c r="D73" s="66"/>
      <c r="E73" s="45"/>
      <c r="F73" s="66"/>
      <c r="G73" s="45"/>
      <c r="H73" s="66"/>
      <c r="I73" s="45"/>
      <c r="J73" s="66"/>
      <c r="K73" s="45"/>
      <c r="L73" s="66"/>
      <c r="M73" s="45"/>
      <c r="N73" s="1389"/>
      <c r="O73" s="1381"/>
      <c r="P73" s="1389"/>
      <c r="Q73" s="1381"/>
      <c r="R73" s="1380"/>
      <c r="S73" s="2749"/>
      <c r="X73" s="3170"/>
      <c r="Y73" s="3170"/>
    </row>
    <row r="74" spans="1:30" s="1544" customFormat="1">
      <c r="A74" s="1546" t="s">
        <v>59</v>
      </c>
      <c r="B74" s="1556"/>
      <c r="C74" s="1557"/>
      <c r="D74" s="1558"/>
      <c r="E74" s="1557"/>
      <c r="F74" s="1558"/>
      <c r="G74" s="1557"/>
      <c r="H74" s="1558"/>
      <c r="I74" s="1557"/>
      <c r="J74" s="1558"/>
      <c r="K74" s="1557"/>
      <c r="L74" s="1558"/>
      <c r="M74" s="1557"/>
      <c r="N74" s="1391"/>
      <c r="O74" s="1388"/>
      <c r="P74" s="1391"/>
      <c r="Q74" s="1388"/>
      <c r="R74" s="1377"/>
      <c r="S74" s="2749"/>
      <c r="X74" s="3170"/>
      <c r="Y74" s="3170"/>
    </row>
    <row r="75" spans="1:30" s="1544" customFormat="1">
      <c r="A75" s="1546" t="s">
        <v>60</v>
      </c>
      <c r="B75" s="1559"/>
      <c r="C75" s="1560"/>
      <c r="D75" s="1561"/>
      <c r="E75" s="1560"/>
      <c r="F75" s="1561"/>
      <c r="G75" s="1560"/>
      <c r="H75" s="1561"/>
      <c r="I75" s="1560"/>
      <c r="J75" s="1561"/>
      <c r="K75" s="1560"/>
      <c r="L75" s="1561"/>
      <c r="M75" s="1560"/>
      <c r="N75" s="1391"/>
      <c r="O75" s="1388"/>
      <c r="P75" s="1391"/>
      <c r="Q75" s="1387"/>
      <c r="R75" s="1377"/>
      <c r="S75" s="2749"/>
      <c r="X75" s="3170"/>
      <c r="Y75" s="3170"/>
    </row>
    <row r="76" spans="1:30" s="1544" customFormat="1">
      <c r="A76" s="1546" t="s">
        <v>57</v>
      </c>
      <c r="B76" s="76"/>
      <c r="C76" s="77"/>
      <c r="D76" s="78"/>
      <c r="E76" s="77"/>
      <c r="F76" s="78"/>
      <c r="G76" s="77"/>
      <c r="H76" s="78"/>
      <c r="I76" s="77"/>
      <c r="J76" s="78"/>
      <c r="K76" s="77"/>
      <c r="L76" s="78"/>
      <c r="M76" s="77"/>
      <c r="N76" s="1376"/>
      <c r="O76" s="1466"/>
      <c r="P76" s="1376"/>
      <c r="Q76" s="1467"/>
      <c r="R76" s="1468"/>
      <c r="S76" s="2749"/>
      <c r="X76" s="3170"/>
      <c r="Y76" s="3170"/>
    </row>
    <row r="77" spans="1:30" s="1544" customFormat="1">
      <c r="A77" s="1546"/>
      <c r="B77" s="33"/>
      <c r="C77" s="34"/>
      <c r="D77" s="35"/>
      <c r="E77" s="34"/>
      <c r="F77" s="35"/>
      <c r="G77" s="34"/>
      <c r="H77" s="35"/>
      <c r="I77" s="34"/>
      <c r="J77" s="35"/>
      <c r="K77" s="34"/>
      <c r="L77" s="35"/>
      <c r="M77" s="34"/>
      <c r="N77" s="1469"/>
      <c r="O77" s="1470"/>
      <c r="P77" s="1469"/>
      <c r="Q77" s="1470"/>
      <c r="R77" s="1471"/>
      <c r="S77" s="2749"/>
      <c r="X77" s="3170"/>
      <c r="Y77" s="3170"/>
    </row>
    <row r="78" spans="1:30" s="1544" customFormat="1" ht="13.8" thickBot="1">
      <c r="A78" s="1547" t="s">
        <v>85</v>
      </c>
      <c r="B78" s="33"/>
      <c r="C78" s="34"/>
      <c r="D78" s="35"/>
      <c r="E78" s="34"/>
      <c r="F78" s="35"/>
      <c r="G78" s="34"/>
      <c r="H78" s="35"/>
      <c r="I78" s="34"/>
      <c r="J78" s="35"/>
      <c r="K78" s="34"/>
      <c r="L78" s="35"/>
      <c r="M78" s="34"/>
      <c r="N78" s="1469"/>
      <c r="O78" s="1470"/>
      <c r="P78" s="1469"/>
      <c r="Q78" s="1470"/>
      <c r="R78" s="1471"/>
      <c r="S78" s="2749"/>
      <c r="X78" s="3170"/>
      <c r="Y78" s="3170"/>
    </row>
    <row r="79" spans="1:30" s="1544" customFormat="1">
      <c r="A79" s="1546" t="s">
        <v>59</v>
      </c>
      <c r="B79" s="3083">
        <v>581</v>
      </c>
      <c r="C79" s="3084"/>
      <c r="D79" s="3085">
        <v>576</v>
      </c>
      <c r="E79" s="3084"/>
      <c r="F79" s="3085">
        <v>626</v>
      </c>
      <c r="G79" s="3084"/>
      <c r="H79" s="3085">
        <v>568</v>
      </c>
      <c r="I79" s="3084"/>
      <c r="J79" s="3085">
        <v>628</v>
      </c>
      <c r="K79" s="3084"/>
      <c r="L79" s="3085">
        <v>642</v>
      </c>
      <c r="M79" s="1557"/>
      <c r="N79" s="962">
        <f>AVERAGE(B79:F79)</f>
        <v>594.33333333333337</v>
      </c>
      <c r="O79" s="963"/>
      <c r="P79" s="962">
        <f>AVERAGE(H79:L79)</f>
        <v>612.66666666666663</v>
      </c>
      <c r="Q79" s="963"/>
      <c r="R79" s="964">
        <f>P79-N79</f>
        <v>18.333333333333258</v>
      </c>
      <c r="S79" s="2749"/>
      <c r="T79" s="4483" t="s">
        <v>367</v>
      </c>
      <c r="U79" s="4484"/>
      <c r="V79" s="4484"/>
      <c r="W79" s="4484"/>
      <c r="X79" s="4484"/>
      <c r="Y79" s="4484"/>
      <c r="Z79" s="4484"/>
      <c r="AA79" s="4484"/>
      <c r="AB79" s="4484"/>
      <c r="AC79" s="4484"/>
      <c r="AD79" s="4485"/>
    </row>
    <row r="80" spans="1:30" s="1544" customFormat="1" ht="13.8" thickBot="1">
      <c r="A80" s="1546" t="s">
        <v>61</v>
      </c>
      <c r="B80" s="1577">
        <v>47</v>
      </c>
      <c r="C80" s="1578"/>
      <c r="D80" s="1579">
        <v>49</v>
      </c>
      <c r="E80" s="1578"/>
      <c r="F80" s="1579">
        <v>58</v>
      </c>
      <c r="G80" s="1578"/>
      <c r="H80" s="1579">
        <v>50</v>
      </c>
      <c r="I80" s="1578"/>
      <c r="J80" s="1579">
        <v>59</v>
      </c>
      <c r="K80" s="1578"/>
      <c r="L80" s="1579">
        <v>61</v>
      </c>
      <c r="M80" s="1560"/>
      <c r="N80" s="962">
        <f>AVERAGE(B80:F80)</f>
        <v>51.333333333333336</v>
      </c>
      <c r="O80" s="963"/>
      <c r="P80" s="962">
        <f>AVERAGE(H80:L80)</f>
        <v>56.666666666666664</v>
      </c>
      <c r="Q80" s="963"/>
      <c r="R80" s="964">
        <f>P80-N80</f>
        <v>5.3333333333333286</v>
      </c>
      <c r="S80" s="2749"/>
      <c r="T80" s="3052">
        <v>2006</v>
      </c>
      <c r="U80" s="3032"/>
      <c r="V80" s="3032">
        <v>2007</v>
      </c>
      <c r="W80" s="3032"/>
      <c r="X80" s="3032">
        <v>2008</v>
      </c>
      <c r="Y80" s="3032"/>
      <c r="Z80" s="3032">
        <v>2009</v>
      </c>
      <c r="AA80" s="3032"/>
      <c r="AB80" s="3032">
        <v>2010</v>
      </c>
      <c r="AC80" s="3032"/>
      <c r="AD80" s="3545">
        <v>2011</v>
      </c>
    </row>
    <row r="81" spans="1:30" s="1544" customFormat="1" ht="13.8" thickBot="1">
      <c r="A81" s="105" t="s">
        <v>57</v>
      </c>
      <c r="B81" s="1390">
        <f>B80/B79</f>
        <v>8.0895008605851984E-2</v>
      </c>
      <c r="C81" s="1383"/>
      <c r="D81" s="1379">
        <f>D80/D79</f>
        <v>8.5069444444444448E-2</v>
      </c>
      <c r="E81" s="1383"/>
      <c r="F81" s="1379">
        <f>F80/F79</f>
        <v>9.2651757188498399E-2</v>
      </c>
      <c r="G81" s="1383"/>
      <c r="H81" s="1379">
        <f>H80/H79</f>
        <v>8.8028169014084501E-2</v>
      </c>
      <c r="I81" s="1383"/>
      <c r="J81" s="1379">
        <f>J80/J79</f>
        <v>9.3949044585987268E-2</v>
      </c>
      <c r="K81" s="1383"/>
      <c r="L81" s="1379">
        <f>L80/L79</f>
        <v>9.5015576323987536E-2</v>
      </c>
      <c r="M81" s="1383"/>
      <c r="N81" s="1472">
        <f>AVERAGE(B80:F80)/AVERAGE(B79:F79)</f>
        <v>8.6371284352215361E-2</v>
      </c>
      <c r="O81" s="1473"/>
      <c r="P81" s="1472">
        <f>AVERAGE(H80:L80)/AVERAGE(H79:L79)</f>
        <v>9.2491838955386291E-2</v>
      </c>
      <c r="Q81" s="1477"/>
      <c r="R81" s="1474">
        <f>P81-N81</f>
        <v>6.1205546031709301E-3</v>
      </c>
      <c r="S81" s="2749"/>
      <c r="T81" s="3553">
        <f>B80/'Overall Degree Completion PMS I'!B83</f>
        <v>0.10173160173160173</v>
      </c>
      <c r="U81" s="3554"/>
      <c r="V81" s="3554">
        <f>D80/'Overall Degree Completion PMS I'!D83</f>
        <v>9.9796334012219962E-2</v>
      </c>
      <c r="W81" s="3554"/>
      <c r="X81" s="3554">
        <f>F80/'Overall Degree Completion PMS I'!F83</f>
        <v>0.12159329140461216</v>
      </c>
      <c r="Y81" s="3554"/>
      <c r="Z81" s="3554">
        <f>H80/'Overall Degree Completion PMS I'!H83</f>
        <v>0.10526315789473684</v>
      </c>
      <c r="AA81" s="3554"/>
      <c r="AB81" s="3554">
        <f>J80/'Overall Degree Completion PMS I'!J83</f>
        <v>0.13409090909090909</v>
      </c>
      <c r="AC81" s="3554"/>
      <c r="AD81" s="3555">
        <f>L80/'Overall Degree Completion PMS I'!L83</f>
        <v>0.12708333333333333</v>
      </c>
    </row>
    <row r="82" spans="1:30" s="1573" customFormat="1" ht="13.8" thickBot="1">
      <c r="A82" s="1566"/>
      <c r="B82" s="38"/>
      <c r="C82" s="38"/>
      <c r="D82" s="38"/>
      <c r="E82" s="38"/>
      <c r="F82" s="38"/>
      <c r="G82" s="38"/>
      <c r="H82" s="38"/>
      <c r="I82" s="38"/>
      <c r="J82" s="38"/>
      <c r="K82" s="38"/>
      <c r="L82" s="38"/>
      <c r="M82" s="38"/>
      <c r="N82" s="1475"/>
      <c r="O82" s="1476"/>
      <c r="P82" s="1475"/>
      <c r="Q82" s="1476"/>
      <c r="R82" s="1475"/>
      <c r="S82" s="3240"/>
      <c r="X82" s="3178"/>
      <c r="Y82" s="3178"/>
    </row>
    <row r="83" spans="1:30" s="1563" customFormat="1" ht="21.75" customHeight="1" thickBot="1">
      <c r="A83" s="3076" t="s">
        <v>485</v>
      </c>
      <c r="B83" s="1568" t="s">
        <v>2</v>
      </c>
      <c r="C83" s="1569"/>
      <c r="D83" s="1570" t="s">
        <v>3</v>
      </c>
      <c r="E83" s="1569"/>
      <c r="F83" s="1571" t="s">
        <v>4</v>
      </c>
      <c r="G83" s="1569"/>
      <c r="H83" s="1567" t="s">
        <v>5</v>
      </c>
      <c r="I83" s="1569"/>
      <c r="J83" s="1567" t="s">
        <v>6</v>
      </c>
      <c r="K83" s="1569"/>
      <c r="L83" s="1567" t="s">
        <v>7</v>
      </c>
      <c r="M83" s="1569"/>
      <c r="N83" s="1384" t="s">
        <v>33</v>
      </c>
      <c r="O83" s="1378"/>
      <c r="P83" s="1384" t="s">
        <v>34</v>
      </c>
      <c r="Q83" s="1378"/>
      <c r="R83" s="1382" t="s">
        <v>35</v>
      </c>
      <c r="S83" s="3239"/>
      <c r="X83" s="3539"/>
      <c r="Y83" s="3539"/>
    </row>
    <row r="84" spans="1:30" s="1562" customFormat="1">
      <c r="A84" s="1572" t="s">
        <v>153</v>
      </c>
      <c r="B84" s="65"/>
      <c r="C84" s="45"/>
      <c r="D84" s="66"/>
      <c r="E84" s="45"/>
      <c r="F84" s="66"/>
      <c r="G84" s="45"/>
      <c r="H84" s="66"/>
      <c r="I84" s="45"/>
      <c r="J84" s="66"/>
      <c r="K84" s="45"/>
      <c r="L84" s="66"/>
      <c r="M84" s="45"/>
      <c r="N84" s="1389"/>
      <c r="O84" s="1381"/>
      <c r="P84" s="1389"/>
      <c r="Q84" s="1381"/>
      <c r="R84" s="1380"/>
      <c r="S84" s="2749"/>
      <c r="X84" s="3170"/>
      <c r="Y84" s="3170"/>
    </row>
    <row r="85" spans="1:30" s="1562" customFormat="1">
      <c r="A85" s="1564" t="s">
        <v>59</v>
      </c>
      <c r="B85" s="1574"/>
      <c r="C85" s="1575"/>
      <c r="D85" s="1576"/>
      <c r="E85" s="1575"/>
      <c r="F85" s="1576"/>
      <c r="G85" s="1575"/>
      <c r="H85" s="1576"/>
      <c r="I85" s="1575"/>
      <c r="J85" s="1576"/>
      <c r="K85" s="1575"/>
      <c r="L85" s="1576"/>
      <c r="M85" s="1575"/>
      <c r="N85" s="1391"/>
      <c r="O85" s="1388"/>
      <c r="P85" s="1391"/>
      <c r="Q85" s="1388"/>
      <c r="R85" s="1377"/>
      <c r="S85" s="2749"/>
      <c r="X85" s="3170"/>
      <c r="Y85" s="3170"/>
    </row>
    <row r="86" spans="1:30" s="1562" customFormat="1">
      <c r="A86" s="1564" t="s">
        <v>60</v>
      </c>
      <c r="B86" s="1577"/>
      <c r="C86" s="1578"/>
      <c r="D86" s="1579"/>
      <c r="E86" s="1578"/>
      <c r="F86" s="1579"/>
      <c r="G86" s="1578"/>
      <c r="H86" s="1579"/>
      <c r="I86" s="1578"/>
      <c r="J86" s="1579"/>
      <c r="K86" s="1578"/>
      <c r="L86" s="1579"/>
      <c r="M86" s="1578"/>
      <c r="N86" s="1391"/>
      <c r="O86" s="1388"/>
      <c r="P86" s="1391"/>
      <c r="Q86" s="1387"/>
      <c r="R86" s="1377"/>
      <c r="S86" s="2749"/>
      <c r="X86" s="3170"/>
      <c r="Y86" s="3170"/>
    </row>
    <row r="87" spans="1:30" s="1562" customFormat="1">
      <c r="A87" s="1564" t="s">
        <v>57</v>
      </c>
      <c r="B87" s="76"/>
      <c r="C87" s="77"/>
      <c r="D87" s="78"/>
      <c r="E87" s="77"/>
      <c r="F87" s="78"/>
      <c r="G87" s="77"/>
      <c r="H87" s="78"/>
      <c r="I87" s="77"/>
      <c r="J87" s="78"/>
      <c r="K87" s="77"/>
      <c r="L87" s="78"/>
      <c r="M87" s="77"/>
      <c r="N87" s="1376"/>
      <c r="O87" s="1466"/>
      <c r="P87" s="1376"/>
      <c r="Q87" s="1467"/>
      <c r="R87" s="1468"/>
      <c r="S87" s="2749"/>
      <c r="X87" s="3170"/>
      <c r="Y87" s="3170"/>
    </row>
    <row r="88" spans="1:30" s="1562" customFormat="1">
      <c r="A88" s="1564"/>
      <c r="B88" s="33"/>
      <c r="C88" s="34"/>
      <c r="D88" s="35"/>
      <c r="E88" s="34"/>
      <c r="F88" s="35"/>
      <c r="G88" s="34"/>
      <c r="H88" s="35"/>
      <c r="I88" s="34"/>
      <c r="J88" s="35"/>
      <c r="K88" s="34"/>
      <c r="L88" s="35"/>
      <c r="M88" s="34"/>
      <c r="N88" s="1469"/>
      <c r="O88" s="1470"/>
      <c r="P88" s="1469"/>
      <c r="Q88" s="1470"/>
      <c r="R88" s="1471"/>
      <c r="S88" s="2749"/>
      <c r="X88" s="3170"/>
      <c r="Y88" s="3170"/>
    </row>
    <row r="89" spans="1:30" s="1562" customFormat="1" ht="13.8" thickBot="1">
      <c r="A89" s="1565" t="s">
        <v>85</v>
      </c>
      <c r="B89" s="33"/>
      <c r="C89" s="34"/>
      <c r="D89" s="35"/>
      <c r="E89" s="34"/>
      <c r="F89" s="35"/>
      <c r="G89" s="34"/>
      <c r="H89" s="35"/>
      <c r="I89" s="34"/>
      <c r="J89" s="35"/>
      <c r="K89" s="34"/>
      <c r="L89" s="35"/>
      <c r="M89" s="34"/>
      <c r="N89" s="1469"/>
      <c r="O89" s="1470"/>
      <c r="P89" s="1469"/>
      <c r="Q89" s="1470"/>
      <c r="R89" s="1471"/>
      <c r="S89" s="2749"/>
      <c r="X89" s="3170"/>
      <c r="Y89" s="3170"/>
    </row>
    <row r="90" spans="1:30" s="1562" customFormat="1">
      <c r="A90" s="1564" t="s">
        <v>59</v>
      </c>
      <c r="B90" s="1392">
        <v>1891</v>
      </c>
      <c r="C90" s="216"/>
      <c r="D90" s="168">
        <v>2005</v>
      </c>
      <c r="E90" s="216"/>
      <c r="F90" s="168">
        <v>1962</v>
      </c>
      <c r="G90" s="216"/>
      <c r="H90" s="168">
        <v>2108</v>
      </c>
      <c r="I90" s="216"/>
      <c r="J90" s="168">
        <v>2231</v>
      </c>
      <c r="K90" s="216"/>
      <c r="L90" s="168">
        <v>2415</v>
      </c>
      <c r="M90" s="1575"/>
      <c r="N90" s="962">
        <f>AVERAGE(B90:F90)</f>
        <v>1952.6666666666667</v>
      </c>
      <c r="O90" s="963"/>
      <c r="P90" s="962">
        <f>AVERAGE(H90:L90)</f>
        <v>2251.3333333333335</v>
      </c>
      <c r="Q90" s="963"/>
      <c r="R90" s="964">
        <f>P90-N90</f>
        <v>298.66666666666674</v>
      </c>
      <c r="S90" s="2749"/>
      <c r="T90" s="4483" t="s">
        <v>367</v>
      </c>
      <c r="U90" s="4484"/>
      <c r="V90" s="4484"/>
      <c r="W90" s="4484"/>
      <c r="X90" s="4484"/>
      <c r="Y90" s="4484"/>
      <c r="Z90" s="4484"/>
      <c r="AA90" s="4484"/>
      <c r="AB90" s="4484"/>
      <c r="AC90" s="4484"/>
      <c r="AD90" s="4485"/>
    </row>
    <row r="91" spans="1:30" s="1562" customFormat="1" ht="13.8" thickBot="1">
      <c r="A91" s="1564" t="s">
        <v>61</v>
      </c>
      <c r="B91" s="1582">
        <v>183</v>
      </c>
      <c r="C91" s="1583"/>
      <c r="D91" s="1584">
        <v>205</v>
      </c>
      <c r="E91" s="1583"/>
      <c r="F91" s="1584">
        <v>212</v>
      </c>
      <c r="G91" s="1583"/>
      <c r="H91" s="1584">
        <v>217</v>
      </c>
      <c r="I91" s="1583"/>
      <c r="J91" s="1584">
        <v>294</v>
      </c>
      <c r="K91" s="1583"/>
      <c r="L91" s="1584">
        <v>360</v>
      </c>
      <c r="M91" s="1578"/>
      <c r="N91" s="962">
        <f>AVERAGE(B91:F91)</f>
        <v>200</v>
      </c>
      <c r="O91" s="963"/>
      <c r="P91" s="962">
        <f>AVERAGE(H91:L91)</f>
        <v>290.33333333333331</v>
      </c>
      <c r="Q91" s="963"/>
      <c r="R91" s="964">
        <f>P91-N91</f>
        <v>90.333333333333314</v>
      </c>
      <c r="S91" s="2749"/>
      <c r="T91" s="3052">
        <v>2006</v>
      </c>
      <c r="U91" s="3032"/>
      <c r="V91" s="3032">
        <v>2007</v>
      </c>
      <c r="W91" s="3032"/>
      <c r="X91" s="3032">
        <v>2008</v>
      </c>
      <c r="Y91" s="3032"/>
      <c r="Z91" s="3032">
        <v>2009</v>
      </c>
      <c r="AA91" s="3032"/>
      <c r="AB91" s="3032">
        <v>2010</v>
      </c>
      <c r="AC91" s="3032"/>
      <c r="AD91" s="3545">
        <v>2011</v>
      </c>
    </row>
    <row r="92" spans="1:30" s="1562" customFormat="1" ht="13.8" thickBot="1">
      <c r="A92" s="105" t="s">
        <v>57</v>
      </c>
      <c r="B92" s="1390">
        <f>B91/B90</f>
        <v>9.6774193548387094E-2</v>
      </c>
      <c r="C92" s="1383"/>
      <c r="D92" s="1379">
        <f>D91/D90</f>
        <v>0.10224438902743142</v>
      </c>
      <c r="E92" s="1383"/>
      <c r="F92" s="1379">
        <f>F91/F90</f>
        <v>0.10805300713557595</v>
      </c>
      <c r="G92" s="1383"/>
      <c r="H92" s="1379">
        <f>H91/H90</f>
        <v>0.10294117647058823</v>
      </c>
      <c r="I92" s="1383"/>
      <c r="J92" s="1379">
        <f>J91/J90</f>
        <v>0.13177947108919766</v>
      </c>
      <c r="K92" s="1383"/>
      <c r="L92" s="1379">
        <f>L91/L90</f>
        <v>0.14906832298136646</v>
      </c>
      <c r="M92" s="1383"/>
      <c r="N92" s="1472">
        <f>AVERAGE(B91:F91)/AVERAGE(B90:F90)</f>
        <v>0.10242403550699897</v>
      </c>
      <c r="O92" s="1473"/>
      <c r="P92" s="1472">
        <f>AVERAGE(H91:L91)/AVERAGE(H90:L90)</f>
        <v>0.12896061593129995</v>
      </c>
      <c r="Q92" s="1477"/>
      <c r="R92" s="1474">
        <f>P92-N92</f>
        <v>2.6536580424300987E-2</v>
      </c>
      <c r="S92" s="2749"/>
      <c r="T92" s="3553">
        <f>B91/'Overall Degree Completion PMS I'!B95</f>
        <v>7.2274881516587675E-2</v>
      </c>
      <c r="U92" s="3554"/>
      <c r="V92" s="3554">
        <f>D91/'Overall Degree Completion PMS I'!D95</f>
        <v>8.0899763220205215E-2</v>
      </c>
      <c r="W92" s="3554"/>
      <c r="X92" s="3554">
        <f>F91/'Overall Degree Completion PMS I'!F95</f>
        <v>8.1853281853281848E-2</v>
      </c>
      <c r="Y92" s="3554"/>
      <c r="Z92" s="3554">
        <f>H91/'Overall Degree Completion PMS I'!H95</f>
        <v>7.6923076923076927E-2</v>
      </c>
      <c r="AA92" s="3554"/>
      <c r="AB92" s="3554">
        <f>J91/'Overall Degree Completion PMS I'!J95</f>
        <v>0.10348468848996832</v>
      </c>
      <c r="AC92" s="3554"/>
      <c r="AD92" s="3555">
        <f>L91/'Overall Degree Completion PMS I'!L95</f>
        <v>0.11745513866231648</v>
      </c>
    </row>
    <row r="93" spans="1:30" s="2123" customFormat="1" ht="13.8" thickBot="1">
      <c r="A93" s="2122"/>
      <c r="B93" s="38"/>
      <c r="C93" s="38"/>
      <c r="D93" s="38"/>
      <c r="E93" s="38"/>
      <c r="F93" s="38"/>
      <c r="G93" s="38"/>
      <c r="H93" s="38"/>
      <c r="I93" s="38"/>
      <c r="J93" s="38"/>
      <c r="K93" s="38"/>
      <c r="L93" s="38"/>
      <c r="M93" s="38"/>
      <c r="N93" s="1475"/>
      <c r="O93" s="1476"/>
      <c r="P93" s="1475"/>
      <c r="Q93" s="1476"/>
      <c r="R93" s="1475"/>
      <c r="S93" s="3240"/>
      <c r="X93" s="3178"/>
      <c r="Y93" s="3178"/>
    </row>
    <row r="94" spans="1:30" s="2113" customFormat="1" ht="21.75" customHeight="1" thickBot="1">
      <c r="A94" s="442" t="s">
        <v>201</v>
      </c>
      <c r="B94" s="2115" t="s">
        <v>2</v>
      </c>
      <c r="C94" s="2116"/>
      <c r="D94" s="2117" t="s">
        <v>3</v>
      </c>
      <c r="E94" s="2116"/>
      <c r="F94" s="2118" t="s">
        <v>4</v>
      </c>
      <c r="G94" s="2116"/>
      <c r="H94" s="2119" t="s">
        <v>5</v>
      </c>
      <c r="I94" s="2116"/>
      <c r="J94" s="2119" t="s">
        <v>6</v>
      </c>
      <c r="K94" s="2116"/>
      <c r="L94" s="2119" t="s">
        <v>7</v>
      </c>
      <c r="M94" s="2116"/>
      <c r="N94" s="1384" t="s">
        <v>33</v>
      </c>
      <c r="O94" s="1378"/>
      <c r="P94" s="1384" t="s">
        <v>34</v>
      </c>
      <c r="Q94" s="1378"/>
      <c r="R94" s="1382" t="s">
        <v>35</v>
      </c>
      <c r="S94" s="3239"/>
      <c r="X94" s="3539"/>
      <c r="Y94" s="3539"/>
    </row>
    <row r="95" spans="1:30" s="2112" customFormat="1">
      <c r="A95" s="2120" t="s">
        <v>153</v>
      </c>
      <c r="B95" s="65"/>
      <c r="C95" s="45"/>
      <c r="D95" s="66"/>
      <c r="E95" s="45"/>
      <c r="F95" s="66"/>
      <c r="G95" s="45"/>
      <c r="H95" s="66"/>
      <c r="I95" s="45"/>
      <c r="J95" s="66"/>
      <c r="K95" s="45"/>
      <c r="L95" s="66"/>
      <c r="M95" s="45"/>
      <c r="N95" s="1389"/>
      <c r="O95" s="1381"/>
      <c r="P95" s="1389"/>
      <c r="Q95" s="1381"/>
      <c r="R95" s="1380"/>
      <c r="S95" s="2749"/>
      <c r="X95" s="3170"/>
      <c r="Y95" s="3170"/>
    </row>
    <row r="96" spans="1:30" s="2112" customFormat="1">
      <c r="A96" s="2114" t="s">
        <v>59</v>
      </c>
      <c r="B96" s="1860"/>
      <c r="C96" s="1861"/>
      <c r="D96" s="1862"/>
      <c r="E96" s="1861"/>
      <c r="F96" s="1862"/>
      <c r="G96" s="1861"/>
      <c r="H96" s="1862"/>
      <c r="I96" s="1861"/>
      <c r="J96" s="1862"/>
      <c r="K96" s="1861"/>
      <c r="L96" s="1862"/>
      <c r="M96" s="1861"/>
      <c r="N96" s="1391"/>
      <c r="O96" s="1388"/>
      <c r="P96" s="1391"/>
      <c r="Q96" s="1388"/>
      <c r="R96" s="1377"/>
      <c r="S96" s="2749"/>
      <c r="X96" s="3170"/>
      <c r="Y96" s="3170"/>
    </row>
    <row r="97" spans="1:30" s="2112" customFormat="1">
      <c r="A97" s="2114" t="s">
        <v>60</v>
      </c>
      <c r="B97" s="1863"/>
      <c r="C97" s="1864"/>
      <c r="D97" s="1865"/>
      <c r="E97" s="1864"/>
      <c r="F97" s="1865"/>
      <c r="G97" s="1864"/>
      <c r="H97" s="1865"/>
      <c r="I97" s="1864"/>
      <c r="J97" s="1865"/>
      <c r="K97" s="1864"/>
      <c r="L97" s="1865"/>
      <c r="M97" s="1864"/>
      <c r="N97" s="1391"/>
      <c r="O97" s="1388"/>
      <c r="P97" s="1391"/>
      <c r="Q97" s="1387"/>
      <c r="R97" s="1377"/>
      <c r="S97" s="2749"/>
      <c r="X97" s="3170"/>
      <c r="Y97" s="3170"/>
    </row>
    <row r="98" spans="1:30" s="2112" customFormat="1">
      <c r="A98" s="2114" t="s">
        <v>57</v>
      </c>
      <c r="B98" s="76"/>
      <c r="C98" s="77"/>
      <c r="D98" s="78"/>
      <c r="E98" s="77"/>
      <c r="F98" s="78"/>
      <c r="G98" s="77"/>
      <c r="H98" s="78"/>
      <c r="I98" s="77"/>
      <c r="J98" s="78"/>
      <c r="K98" s="77"/>
      <c r="L98" s="78"/>
      <c r="M98" s="77"/>
      <c r="N98" s="1376"/>
      <c r="O98" s="1466"/>
      <c r="P98" s="1376"/>
      <c r="Q98" s="1467"/>
      <c r="R98" s="1468"/>
      <c r="S98" s="2749"/>
      <c r="X98" s="3170"/>
      <c r="Y98" s="3170"/>
    </row>
    <row r="99" spans="1:30" s="2112" customFormat="1">
      <c r="A99" s="2114"/>
      <c r="B99" s="33"/>
      <c r="C99" s="34"/>
      <c r="D99" s="35"/>
      <c r="E99" s="34"/>
      <c r="F99" s="35"/>
      <c r="G99" s="34"/>
      <c r="H99" s="35"/>
      <c r="I99" s="34"/>
      <c r="J99" s="35"/>
      <c r="K99" s="34"/>
      <c r="L99" s="35"/>
      <c r="M99" s="34"/>
      <c r="N99" s="1469"/>
      <c r="O99" s="1470"/>
      <c r="P99" s="1469"/>
      <c r="Q99" s="1470"/>
      <c r="R99" s="1471"/>
      <c r="S99" s="2749"/>
      <c r="X99" s="3170"/>
      <c r="Y99" s="3170"/>
    </row>
    <row r="100" spans="1:30" s="2112" customFormat="1" ht="13.8" thickBot="1">
      <c r="A100" s="2121" t="s">
        <v>85</v>
      </c>
      <c r="B100" s="33"/>
      <c r="C100" s="34"/>
      <c r="D100" s="35"/>
      <c r="E100" s="34"/>
      <c r="F100" s="35"/>
      <c r="G100" s="34"/>
      <c r="H100" s="35"/>
      <c r="I100" s="34"/>
      <c r="J100" s="35"/>
      <c r="K100" s="34"/>
      <c r="L100" s="35"/>
      <c r="M100" s="34"/>
      <c r="N100" s="1469"/>
      <c r="O100" s="1470"/>
      <c r="P100" s="1469"/>
      <c r="Q100" s="1470"/>
      <c r="R100" s="1471"/>
      <c r="S100" s="2749"/>
      <c r="X100" s="3170"/>
      <c r="Y100" s="3170"/>
    </row>
    <row r="101" spans="1:30" s="2112" customFormat="1">
      <c r="A101" s="2114" t="s">
        <v>59</v>
      </c>
      <c r="B101" s="1946">
        <v>3844</v>
      </c>
      <c r="C101" s="1944"/>
      <c r="D101" s="1945">
        <v>4099</v>
      </c>
      <c r="E101" s="1944"/>
      <c r="F101" s="1945">
        <v>4395</v>
      </c>
      <c r="G101" s="1944"/>
      <c r="H101" s="1945">
        <v>4558</v>
      </c>
      <c r="I101" s="1944"/>
      <c r="J101" s="1945">
        <v>4635</v>
      </c>
      <c r="K101" s="1944"/>
      <c r="L101" s="1945">
        <v>4347</v>
      </c>
      <c r="M101" s="1861"/>
      <c r="N101" s="962">
        <f>AVERAGE(B101:F101)</f>
        <v>4112.666666666667</v>
      </c>
      <c r="O101" s="963"/>
      <c r="P101" s="962">
        <f>AVERAGE(H101:L101)</f>
        <v>4513.333333333333</v>
      </c>
      <c r="Q101" s="963"/>
      <c r="R101" s="964">
        <f>P101-N101</f>
        <v>400.66666666666606</v>
      </c>
      <c r="S101" s="2749"/>
      <c r="T101" s="4483" t="s">
        <v>367</v>
      </c>
      <c r="U101" s="4484"/>
      <c r="V101" s="4484"/>
      <c r="W101" s="4484"/>
      <c r="X101" s="4484"/>
      <c r="Y101" s="4484"/>
      <c r="Z101" s="4484"/>
      <c r="AA101" s="4484"/>
      <c r="AB101" s="4484"/>
      <c r="AC101" s="4484"/>
      <c r="AD101" s="4485"/>
    </row>
    <row r="102" spans="1:30" s="2112" customFormat="1" ht="13.8" thickBot="1">
      <c r="A102" s="2114" t="s">
        <v>61</v>
      </c>
      <c r="B102" s="2133">
        <v>1392</v>
      </c>
      <c r="C102" s="2132"/>
      <c r="D102" s="2134">
        <v>1494</v>
      </c>
      <c r="E102" s="2132"/>
      <c r="F102" s="2134">
        <v>1700</v>
      </c>
      <c r="G102" s="2132"/>
      <c r="H102" s="2134">
        <v>1755</v>
      </c>
      <c r="I102" s="2132"/>
      <c r="J102" s="2134">
        <v>1819</v>
      </c>
      <c r="K102" s="2132"/>
      <c r="L102" s="2134">
        <v>1836</v>
      </c>
      <c r="M102" s="1864"/>
      <c r="N102" s="962">
        <f>AVERAGE(B102:F102)</f>
        <v>1528.6666666666667</v>
      </c>
      <c r="O102" s="963"/>
      <c r="P102" s="962">
        <f>AVERAGE(H102:L102)</f>
        <v>1803.3333333333333</v>
      </c>
      <c r="Q102" s="963"/>
      <c r="R102" s="964">
        <f>P102-N102</f>
        <v>274.66666666666652</v>
      </c>
      <c r="S102" s="2749"/>
      <c r="T102" s="3052">
        <v>2006</v>
      </c>
      <c r="U102" s="3032"/>
      <c r="V102" s="3032">
        <v>2007</v>
      </c>
      <c r="W102" s="3032"/>
      <c r="X102" s="3032">
        <v>2008</v>
      </c>
      <c r="Y102" s="3032"/>
      <c r="Z102" s="3032">
        <v>2009</v>
      </c>
      <c r="AA102" s="3032"/>
      <c r="AB102" s="3032">
        <v>2010</v>
      </c>
      <c r="AC102" s="3032"/>
      <c r="AD102" s="3545">
        <v>2011</v>
      </c>
    </row>
    <row r="103" spans="1:30" s="2112" customFormat="1" ht="13.8" thickBot="1">
      <c r="A103" s="105" t="s">
        <v>57</v>
      </c>
      <c r="B103" s="1390">
        <f>B102/B101</f>
        <v>0.36212278876170656</v>
      </c>
      <c r="C103" s="1383"/>
      <c r="D103" s="1379">
        <f>D102/D101</f>
        <v>0.36447914125396436</v>
      </c>
      <c r="E103" s="1383"/>
      <c r="F103" s="1379">
        <f>F102/F101</f>
        <v>0.38680318543799774</v>
      </c>
      <c r="G103" s="1383"/>
      <c r="H103" s="1379">
        <f>H102/H101</f>
        <v>0.38503729706011408</v>
      </c>
      <c r="I103" s="1383"/>
      <c r="J103" s="1379">
        <f>J102/J101</f>
        <v>0.39244875943905072</v>
      </c>
      <c r="K103" s="1383"/>
      <c r="L103" s="1379">
        <f>L102/L101</f>
        <v>0.42236024844720499</v>
      </c>
      <c r="M103" s="1383"/>
      <c r="N103" s="1472">
        <f>AVERAGE(B102:F102)/AVERAGE(B101:F101)</f>
        <v>0.37169719565569781</v>
      </c>
      <c r="O103" s="1473"/>
      <c r="P103" s="1472">
        <f>AVERAGE(H102:L102)/AVERAGE(H101:L101)</f>
        <v>0.3995568685376662</v>
      </c>
      <c r="Q103" s="1477"/>
      <c r="R103" s="1474">
        <f>P103-N103</f>
        <v>2.7859672881968389E-2</v>
      </c>
      <c r="S103" s="2749"/>
      <c r="T103" s="3553">
        <f>B102/'Overall Degree Completion PMS I'!B107</f>
        <v>0.36325678496868474</v>
      </c>
      <c r="U103" s="3554"/>
      <c r="V103" s="3554">
        <f>D102/'Overall Degree Completion PMS I'!D107</f>
        <v>0.38896120801874512</v>
      </c>
      <c r="W103" s="3554"/>
      <c r="X103" s="3554">
        <f>F102/'Overall Degree Completion PMS I'!F107</f>
        <v>0.41996047430830041</v>
      </c>
      <c r="Y103" s="3554"/>
      <c r="Z103" s="3554">
        <f>H102/'Overall Degree Completion PMS I'!H107</f>
        <v>0.41294117647058826</v>
      </c>
      <c r="AA103" s="3554"/>
      <c r="AB103" s="3554">
        <f>J102/'Overall Degree Completion PMS I'!J107</f>
        <v>0.4151072569602921</v>
      </c>
      <c r="AC103" s="3554"/>
      <c r="AD103" s="3555">
        <f>L102/'Overall Degree Completion PMS I'!L107</f>
        <v>0.40360518795339634</v>
      </c>
    </row>
    <row r="104" spans="1:30" s="2138" customFormat="1" ht="13.8" thickBot="1">
      <c r="A104" s="2137"/>
      <c r="B104" s="38"/>
      <c r="C104" s="38"/>
      <c r="D104" s="38"/>
      <c r="E104" s="38"/>
      <c r="F104" s="38"/>
      <c r="G104" s="38"/>
      <c r="H104" s="38"/>
      <c r="I104" s="38"/>
      <c r="J104" s="38"/>
      <c r="K104" s="38"/>
      <c r="L104" s="38"/>
      <c r="M104" s="38"/>
      <c r="N104" s="1475"/>
      <c r="O104" s="1476"/>
      <c r="P104" s="1475"/>
      <c r="Q104" s="1476"/>
      <c r="R104" s="1475"/>
      <c r="S104" s="3240"/>
      <c r="X104" s="3178"/>
      <c r="Y104" s="3178"/>
    </row>
    <row r="105" spans="1:30" s="2125" customFormat="1" ht="30" customHeight="1" thickBot="1">
      <c r="A105" s="442" t="s">
        <v>204</v>
      </c>
      <c r="B105" s="2127" t="s">
        <v>2</v>
      </c>
      <c r="C105" s="2128"/>
      <c r="D105" s="2129" t="s">
        <v>3</v>
      </c>
      <c r="E105" s="2128"/>
      <c r="F105" s="2130" t="s">
        <v>4</v>
      </c>
      <c r="G105" s="2128"/>
      <c r="H105" s="2131" t="s">
        <v>5</v>
      </c>
      <c r="I105" s="2128"/>
      <c r="J105" s="2131" t="s">
        <v>6</v>
      </c>
      <c r="K105" s="2128"/>
      <c r="L105" s="2131" t="s">
        <v>7</v>
      </c>
      <c r="M105" s="2128"/>
      <c r="N105" s="1384" t="s">
        <v>33</v>
      </c>
      <c r="O105" s="1378"/>
      <c r="P105" s="1384" t="s">
        <v>34</v>
      </c>
      <c r="Q105" s="1378"/>
      <c r="R105" s="1382" t="s">
        <v>35</v>
      </c>
      <c r="S105" s="3239"/>
      <c r="X105" s="3539"/>
      <c r="Y105" s="3539"/>
    </row>
    <row r="106" spans="1:30" s="2124" customFormat="1">
      <c r="A106" s="2135" t="s">
        <v>153</v>
      </c>
      <c r="B106" s="65"/>
      <c r="C106" s="45"/>
      <c r="D106" s="66"/>
      <c r="E106" s="45"/>
      <c r="F106" s="66"/>
      <c r="G106" s="45"/>
      <c r="H106" s="66"/>
      <c r="I106" s="45"/>
      <c r="J106" s="66"/>
      <c r="K106" s="45"/>
      <c r="L106" s="66"/>
      <c r="M106" s="45"/>
      <c r="N106" s="1389"/>
      <c r="O106" s="1381"/>
      <c r="P106" s="1389"/>
      <c r="Q106" s="1381"/>
      <c r="R106" s="1380"/>
      <c r="S106" s="2749"/>
      <c r="X106" s="3170"/>
      <c r="Y106" s="3170"/>
    </row>
    <row r="107" spans="1:30" s="2124" customFormat="1">
      <c r="A107" s="2126" t="s">
        <v>59</v>
      </c>
      <c r="B107" s="1860"/>
      <c r="C107" s="1861"/>
      <c r="D107" s="1862"/>
      <c r="E107" s="1861"/>
      <c r="F107" s="1862"/>
      <c r="G107" s="1861"/>
      <c r="H107" s="1862"/>
      <c r="I107" s="1861"/>
      <c r="J107" s="1862"/>
      <c r="K107" s="1861"/>
      <c r="L107" s="1862"/>
      <c r="M107" s="1861"/>
      <c r="N107" s="1391"/>
      <c r="O107" s="1388"/>
      <c r="P107" s="1391"/>
      <c r="Q107" s="1388"/>
      <c r="R107" s="1377"/>
      <c r="S107" s="2749"/>
      <c r="X107" s="3170"/>
      <c r="Y107" s="3170"/>
    </row>
    <row r="108" spans="1:30" s="2124" customFormat="1">
      <c r="A108" s="2126" t="s">
        <v>60</v>
      </c>
      <c r="B108" s="1863"/>
      <c r="C108" s="1864"/>
      <c r="D108" s="1865"/>
      <c r="E108" s="1864"/>
      <c r="F108" s="1865"/>
      <c r="G108" s="1864"/>
      <c r="H108" s="1865"/>
      <c r="I108" s="1864"/>
      <c r="J108" s="1865"/>
      <c r="K108" s="1864"/>
      <c r="L108" s="1865"/>
      <c r="M108" s="1864"/>
      <c r="N108" s="1391"/>
      <c r="O108" s="1388"/>
      <c r="P108" s="1391"/>
      <c r="Q108" s="1387"/>
      <c r="R108" s="1377"/>
      <c r="S108" s="2749"/>
      <c r="X108" s="3170"/>
      <c r="Y108" s="3170"/>
    </row>
    <row r="109" spans="1:30" s="2124" customFormat="1">
      <c r="A109" s="2126" t="s">
        <v>57</v>
      </c>
      <c r="B109" s="76"/>
      <c r="C109" s="77"/>
      <c r="D109" s="78"/>
      <c r="E109" s="77"/>
      <c r="F109" s="78"/>
      <c r="G109" s="77"/>
      <c r="H109" s="78"/>
      <c r="I109" s="77"/>
      <c r="J109" s="78"/>
      <c r="K109" s="77"/>
      <c r="L109" s="78"/>
      <c r="M109" s="77"/>
      <c r="N109" s="1376"/>
      <c r="O109" s="1466"/>
      <c r="P109" s="1376"/>
      <c r="Q109" s="1467"/>
      <c r="R109" s="1468"/>
      <c r="S109" s="2749"/>
      <c r="X109" s="3170"/>
      <c r="Y109" s="3170"/>
    </row>
    <row r="110" spans="1:30" s="2124" customFormat="1">
      <c r="A110" s="2126"/>
      <c r="B110" s="33"/>
      <c r="C110" s="34"/>
      <c r="D110" s="35"/>
      <c r="E110" s="34"/>
      <c r="F110" s="35"/>
      <c r="G110" s="34"/>
      <c r="H110" s="35"/>
      <c r="I110" s="34"/>
      <c r="J110" s="35"/>
      <c r="K110" s="34"/>
      <c r="L110" s="35"/>
      <c r="M110" s="34"/>
      <c r="N110" s="1469"/>
      <c r="O110" s="1470"/>
      <c r="P110" s="1469"/>
      <c r="Q110" s="1470"/>
      <c r="R110" s="1471"/>
      <c r="S110" s="2749"/>
      <c r="X110" s="3170"/>
      <c r="Y110" s="3170"/>
    </row>
    <row r="111" spans="1:30" s="2124" customFormat="1" ht="13.8" thickBot="1">
      <c r="A111" s="2136" t="s">
        <v>85</v>
      </c>
      <c r="B111" s="33"/>
      <c r="C111" s="34"/>
      <c r="D111" s="35"/>
      <c r="E111" s="34"/>
      <c r="F111" s="35"/>
      <c r="G111" s="34"/>
      <c r="H111" s="35"/>
      <c r="I111" s="34"/>
      <c r="J111" s="35"/>
      <c r="K111" s="34"/>
      <c r="L111" s="35"/>
      <c r="M111" s="34"/>
      <c r="N111" s="1469"/>
      <c r="O111" s="1470"/>
      <c r="P111" s="1469"/>
      <c r="Q111" s="1470"/>
      <c r="R111" s="1471"/>
      <c r="S111" s="2749"/>
      <c r="X111" s="3170"/>
      <c r="Y111" s="3170"/>
    </row>
    <row r="112" spans="1:30" s="2124" customFormat="1">
      <c r="A112" s="2126" t="s">
        <v>59</v>
      </c>
      <c r="B112" s="1946">
        <v>878</v>
      </c>
      <c r="C112" s="1944"/>
      <c r="D112" s="1945">
        <v>876</v>
      </c>
      <c r="E112" s="1944"/>
      <c r="F112" s="1945">
        <v>883</v>
      </c>
      <c r="G112" s="1944"/>
      <c r="H112" s="1945">
        <v>858</v>
      </c>
      <c r="I112" s="1944"/>
      <c r="J112" s="1945">
        <v>895</v>
      </c>
      <c r="K112" s="1944"/>
      <c r="L112" s="1945">
        <v>1020</v>
      </c>
      <c r="M112" s="1861"/>
      <c r="N112" s="962">
        <f>AVERAGE(B112:F112)</f>
        <v>879</v>
      </c>
      <c r="O112" s="963"/>
      <c r="P112" s="962">
        <f>AVERAGE(H112:L112)</f>
        <v>924.33333333333337</v>
      </c>
      <c r="Q112" s="963"/>
      <c r="R112" s="964">
        <f>P112-N112</f>
        <v>45.333333333333371</v>
      </c>
      <c r="S112" s="2749"/>
      <c r="T112" s="4483" t="s">
        <v>367</v>
      </c>
      <c r="U112" s="4484"/>
      <c r="V112" s="4484"/>
      <c r="W112" s="4484"/>
      <c r="X112" s="4484"/>
      <c r="Y112" s="4484"/>
      <c r="Z112" s="4484"/>
      <c r="AA112" s="4484"/>
      <c r="AB112" s="4484"/>
      <c r="AC112" s="4484"/>
      <c r="AD112" s="4485"/>
    </row>
    <row r="113" spans="1:30" s="2124" customFormat="1" ht="13.8" thickBot="1">
      <c r="A113" s="2126" t="s">
        <v>61</v>
      </c>
      <c r="B113" s="2149">
        <v>46</v>
      </c>
      <c r="C113" s="2148"/>
      <c r="D113" s="2150">
        <v>62</v>
      </c>
      <c r="E113" s="2148"/>
      <c r="F113" s="2150">
        <v>64</v>
      </c>
      <c r="G113" s="2148"/>
      <c r="H113" s="2150">
        <v>60</v>
      </c>
      <c r="I113" s="2148"/>
      <c r="J113" s="2150">
        <v>62</v>
      </c>
      <c r="K113" s="2148"/>
      <c r="L113" s="2150">
        <v>97</v>
      </c>
      <c r="M113" s="1864"/>
      <c r="N113" s="962">
        <f>AVERAGE(B113:F113)</f>
        <v>57.333333333333336</v>
      </c>
      <c r="O113" s="963"/>
      <c r="P113" s="962">
        <f>AVERAGE(H113:L113)</f>
        <v>73</v>
      </c>
      <c r="Q113" s="963"/>
      <c r="R113" s="964">
        <f>P113-N113</f>
        <v>15.666666666666664</v>
      </c>
      <c r="S113" s="2749"/>
      <c r="T113" s="3052">
        <v>2006</v>
      </c>
      <c r="U113" s="3032"/>
      <c r="V113" s="3032">
        <v>2007</v>
      </c>
      <c r="W113" s="3032"/>
      <c r="X113" s="3032">
        <v>2008</v>
      </c>
      <c r="Y113" s="3032"/>
      <c r="Z113" s="3032">
        <v>2009</v>
      </c>
      <c r="AA113" s="3032"/>
      <c r="AB113" s="3032">
        <v>2010</v>
      </c>
      <c r="AC113" s="3032"/>
      <c r="AD113" s="3545">
        <v>2011</v>
      </c>
    </row>
    <row r="114" spans="1:30" s="2124" customFormat="1" ht="13.8" thickBot="1">
      <c r="A114" s="105" t="s">
        <v>57</v>
      </c>
      <c r="B114" s="1390">
        <f>B113/B112</f>
        <v>5.2391799544419138E-2</v>
      </c>
      <c r="C114" s="1383"/>
      <c r="D114" s="1379">
        <f>D113/D112</f>
        <v>7.0776255707762553E-2</v>
      </c>
      <c r="E114" s="1383"/>
      <c r="F114" s="1379">
        <f>F113/F112</f>
        <v>7.2480181200453006E-2</v>
      </c>
      <c r="G114" s="1383"/>
      <c r="H114" s="1379">
        <f>H113/H112</f>
        <v>6.9930069930069935E-2</v>
      </c>
      <c r="I114" s="1383"/>
      <c r="J114" s="1379">
        <f>J113/J112</f>
        <v>6.9273743016759773E-2</v>
      </c>
      <c r="K114" s="1383"/>
      <c r="L114" s="1379">
        <f>L113/L112</f>
        <v>9.509803921568627E-2</v>
      </c>
      <c r="M114" s="1383"/>
      <c r="N114" s="1472">
        <f>AVERAGE(B113:F113)/AVERAGE(B112:F112)</f>
        <v>6.5225635191505496E-2</v>
      </c>
      <c r="O114" s="1473"/>
      <c r="P114" s="1472">
        <f>AVERAGE(H113:L113)/AVERAGE(H112:L112)</f>
        <v>7.8975838442120444E-2</v>
      </c>
      <c r="Q114" s="1477"/>
      <c r="R114" s="1474">
        <f>P114-N114</f>
        <v>1.3750203250614948E-2</v>
      </c>
      <c r="S114" s="2749"/>
      <c r="T114" s="3553">
        <f>B113/'Overall Degree Completion PMS I'!B119</f>
        <v>7.2100313479623826E-2</v>
      </c>
      <c r="U114" s="3554"/>
      <c r="V114" s="3554">
        <f>D113/'Overall Degree Completion PMS I'!D119</f>
        <v>8.794326241134752E-2</v>
      </c>
      <c r="W114" s="3554"/>
      <c r="X114" s="3554">
        <f>F113/'Overall Degree Completion PMS I'!F119</f>
        <v>8.5906040268456371E-2</v>
      </c>
      <c r="Y114" s="3554"/>
      <c r="Z114" s="3554">
        <f>H113/'Overall Degree Completion PMS I'!H119</f>
        <v>8.1632653061224483E-2</v>
      </c>
      <c r="AA114" s="3554"/>
      <c r="AB114" s="3554">
        <f>J113/'Overall Degree Completion PMS I'!J119</f>
        <v>8.5164835164835168E-2</v>
      </c>
      <c r="AC114" s="3554"/>
      <c r="AD114" s="3555">
        <f>L113/'Overall Degree Completion PMS I'!L119</f>
        <v>0.11800486618004866</v>
      </c>
    </row>
    <row r="115" spans="1:30" s="2154" customFormat="1" ht="13.8" thickBot="1">
      <c r="A115" s="2153"/>
      <c r="B115" s="38"/>
      <c r="C115" s="38"/>
      <c r="D115" s="38"/>
      <c r="E115" s="38"/>
      <c r="F115" s="38"/>
      <c r="G115" s="38"/>
      <c r="H115" s="38"/>
      <c r="I115" s="38"/>
      <c r="J115" s="38"/>
      <c r="K115" s="38"/>
      <c r="L115" s="38"/>
      <c r="M115" s="38"/>
      <c r="N115" s="1475"/>
      <c r="O115" s="1476"/>
      <c r="P115" s="1475"/>
      <c r="Q115" s="1476"/>
      <c r="R115" s="1475"/>
      <c r="S115" s="3240"/>
      <c r="X115" s="3178"/>
      <c r="Y115" s="3178"/>
    </row>
    <row r="116" spans="1:30" s="2140" customFormat="1" ht="21.75" customHeight="1" thickBot="1">
      <c r="A116" s="442" t="s">
        <v>205</v>
      </c>
      <c r="B116" s="2143" t="s">
        <v>2</v>
      </c>
      <c r="C116" s="2144"/>
      <c r="D116" s="2145" t="s">
        <v>3</v>
      </c>
      <c r="E116" s="2144"/>
      <c r="F116" s="2146" t="s">
        <v>4</v>
      </c>
      <c r="G116" s="2144"/>
      <c r="H116" s="2147" t="s">
        <v>5</v>
      </c>
      <c r="I116" s="2144"/>
      <c r="J116" s="2147" t="s">
        <v>6</v>
      </c>
      <c r="K116" s="2144"/>
      <c r="L116" s="2147" t="s">
        <v>7</v>
      </c>
      <c r="M116" s="2144"/>
      <c r="N116" s="1384" t="s">
        <v>33</v>
      </c>
      <c r="O116" s="1378"/>
      <c r="P116" s="1384" t="s">
        <v>34</v>
      </c>
      <c r="Q116" s="1378"/>
      <c r="R116" s="1382" t="s">
        <v>35</v>
      </c>
      <c r="S116" s="3239"/>
      <c r="X116" s="3539"/>
      <c r="Y116" s="3539"/>
    </row>
    <row r="117" spans="1:30" s="2139" customFormat="1">
      <c r="A117" s="2151" t="s">
        <v>153</v>
      </c>
      <c r="B117" s="65"/>
      <c r="C117" s="45"/>
      <c r="D117" s="66"/>
      <c r="E117" s="45"/>
      <c r="F117" s="66"/>
      <c r="G117" s="45"/>
      <c r="H117" s="66"/>
      <c r="I117" s="45"/>
      <c r="J117" s="66"/>
      <c r="K117" s="45"/>
      <c r="L117" s="66"/>
      <c r="M117" s="45"/>
      <c r="N117" s="1389"/>
      <c r="O117" s="1381"/>
      <c r="P117" s="1389"/>
      <c r="Q117" s="1381"/>
      <c r="R117" s="1380"/>
      <c r="S117" s="2749"/>
      <c r="X117" s="3170"/>
      <c r="Y117" s="3170"/>
    </row>
    <row r="118" spans="1:30" s="2139" customFormat="1">
      <c r="A118" s="2141" t="s">
        <v>59</v>
      </c>
      <c r="B118" s="1860"/>
      <c r="C118" s="1861"/>
      <c r="D118" s="1862"/>
      <c r="E118" s="1861"/>
      <c r="F118" s="1862"/>
      <c r="G118" s="1861"/>
      <c r="H118" s="1862"/>
      <c r="I118" s="1861"/>
      <c r="J118" s="1862"/>
      <c r="K118" s="1861"/>
      <c r="L118" s="1862"/>
      <c r="M118" s="1861"/>
      <c r="N118" s="1391"/>
      <c r="O118" s="1388"/>
      <c r="P118" s="1391"/>
      <c r="Q118" s="1388"/>
      <c r="R118" s="1377"/>
      <c r="S118" s="2749"/>
      <c r="X118" s="3170"/>
      <c r="Y118" s="3170"/>
    </row>
    <row r="119" spans="1:30" s="2139" customFormat="1">
      <c r="A119" s="2141" t="s">
        <v>60</v>
      </c>
      <c r="B119" s="1863"/>
      <c r="C119" s="1864"/>
      <c r="D119" s="1865"/>
      <c r="E119" s="1864"/>
      <c r="F119" s="1865"/>
      <c r="G119" s="1864"/>
      <c r="H119" s="1865"/>
      <c r="I119" s="1864"/>
      <c r="J119" s="1865"/>
      <c r="K119" s="1864"/>
      <c r="L119" s="1865"/>
      <c r="M119" s="1864"/>
      <c r="N119" s="1391"/>
      <c r="O119" s="1388"/>
      <c r="P119" s="1391"/>
      <c r="Q119" s="1387"/>
      <c r="R119" s="1377"/>
      <c r="S119" s="2749"/>
      <c r="X119" s="3170"/>
      <c r="Y119" s="3170"/>
    </row>
    <row r="120" spans="1:30" s="2139" customFormat="1">
      <c r="A120" s="2141" t="s">
        <v>57</v>
      </c>
      <c r="B120" s="76"/>
      <c r="C120" s="77"/>
      <c r="D120" s="78"/>
      <c r="E120" s="77"/>
      <c r="F120" s="78"/>
      <c r="G120" s="77"/>
      <c r="H120" s="78"/>
      <c r="I120" s="77"/>
      <c r="J120" s="78"/>
      <c r="K120" s="77"/>
      <c r="L120" s="78"/>
      <c r="M120" s="77"/>
      <c r="N120" s="1376"/>
      <c r="O120" s="1466"/>
      <c r="P120" s="1376"/>
      <c r="Q120" s="1467"/>
      <c r="R120" s="1468"/>
      <c r="S120" s="2749"/>
      <c r="X120" s="3170"/>
      <c r="Y120" s="3170"/>
    </row>
    <row r="121" spans="1:30" s="2139" customFormat="1">
      <c r="A121" s="2141"/>
      <c r="B121" s="33"/>
      <c r="C121" s="34"/>
      <c r="D121" s="35"/>
      <c r="E121" s="34"/>
      <c r="F121" s="35"/>
      <c r="G121" s="34"/>
      <c r="H121" s="35"/>
      <c r="I121" s="34"/>
      <c r="J121" s="35"/>
      <c r="K121" s="34"/>
      <c r="L121" s="35"/>
      <c r="M121" s="34"/>
      <c r="N121" s="1469"/>
      <c r="O121" s="1470"/>
      <c r="P121" s="1469"/>
      <c r="Q121" s="1470"/>
      <c r="R121" s="1471"/>
      <c r="S121" s="2749"/>
      <c r="X121" s="3170"/>
      <c r="Y121" s="3170"/>
    </row>
    <row r="122" spans="1:30" s="2139" customFormat="1" ht="13.8" thickBot="1">
      <c r="A122" s="2152" t="s">
        <v>85</v>
      </c>
      <c r="B122" s="33"/>
      <c r="C122" s="34"/>
      <c r="D122" s="35"/>
      <c r="E122" s="34"/>
      <c r="F122" s="35"/>
      <c r="G122" s="34"/>
      <c r="H122" s="35"/>
      <c r="I122" s="34"/>
      <c r="J122" s="35"/>
      <c r="K122" s="34"/>
      <c r="L122" s="35"/>
      <c r="M122" s="34"/>
      <c r="N122" s="1469"/>
      <c r="O122" s="1470"/>
      <c r="P122" s="1469"/>
      <c r="Q122" s="1470"/>
      <c r="R122" s="1471"/>
      <c r="S122" s="2749"/>
      <c r="X122" s="3170"/>
      <c r="Y122" s="3170"/>
    </row>
    <row r="123" spans="1:30" s="2139" customFormat="1">
      <c r="A123" s="2141" t="s">
        <v>59</v>
      </c>
      <c r="B123" s="1946">
        <v>1176</v>
      </c>
      <c r="C123" s="1944"/>
      <c r="D123" s="1945">
        <v>1174</v>
      </c>
      <c r="E123" s="1944"/>
      <c r="F123" s="1945">
        <v>1235</v>
      </c>
      <c r="G123" s="1944"/>
      <c r="H123" s="1945">
        <v>1246</v>
      </c>
      <c r="I123" s="1944"/>
      <c r="J123" s="1945">
        <v>1254</v>
      </c>
      <c r="K123" s="1944"/>
      <c r="L123" s="1945">
        <v>1336</v>
      </c>
      <c r="M123" s="1861"/>
      <c r="N123" s="962">
        <f>AVERAGE(B123:F123)</f>
        <v>1195</v>
      </c>
      <c r="O123" s="963"/>
      <c r="P123" s="962">
        <f>AVERAGE(H123:L123)</f>
        <v>1278.6666666666667</v>
      </c>
      <c r="Q123" s="963"/>
      <c r="R123" s="964">
        <f>P123-N123</f>
        <v>83.666666666666742</v>
      </c>
      <c r="S123" s="2749"/>
      <c r="T123" s="4483" t="s">
        <v>367</v>
      </c>
      <c r="U123" s="4484"/>
      <c r="V123" s="4484"/>
      <c r="W123" s="4484"/>
      <c r="X123" s="4484"/>
      <c r="Y123" s="4484"/>
      <c r="Z123" s="4484"/>
      <c r="AA123" s="4484"/>
      <c r="AB123" s="4484"/>
      <c r="AC123" s="4484"/>
      <c r="AD123" s="4485"/>
    </row>
    <row r="124" spans="1:30" s="2139" customFormat="1" ht="13.8" thickBot="1">
      <c r="A124" s="2141" t="s">
        <v>61</v>
      </c>
      <c r="B124" s="2164">
        <v>82</v>
      </c>
      <c r="C124" s="2163"/>
      <c r="D124" s="2165">
        <v>80</v>
      </c>
      <c r="E124" s="2163"/>
      <c r="F124" s="2165">
        <v>98</v>
      </c>
      <c r="G124" s="2163"/>
      <c r="H124" s="2165">
        <v>78</v>
      </c>
      <c r="I124" s="2163"/>
      <c r="J124" s="2165">
        <v>58</v>
      </c>
      <c r="K124" s="2163"/>
      <c r="L124" s="2165">
        <v>74</v>
      </c>
      <c r="M124" s="1864"/>
      <c r="N124" s="962">
        <f>AVERAGE(B124:F124)</f>
        <v>86.666666666666671</v>
      </c>
      <c r="O124" s="963"/>
      <c r="P124" s="962">
        <f>AVERAGE(H124:L124)</f>
        <v>70</v>
      </c>
      <c r="Q124" s="963"/>
      <c r="R124" s="964">
        <f>P124-N124</f>
        <v>-16.666666666666671</v>
      </c>
      <c r="S124" s="2749"/>
      <c r="T124" s="3052">
        <v>2006</v>
      </c>
      <c r="U124" s="3032"/>
      <c r="V124" s="3032">
        <v>2007</v>
      </c>
      <c r="W124" s="3032"/>
      <c r="X124" s="3032">
        <v>2008</v>
      </c>
      <c r="Y124" s="3032"/>
      <c r="Z124" s="3032">
        <v>2009</v>
      </c>
      <c r="AA124" s="3032"/>
      <c r="AB124" s="3032">
        <v>2010</v>
      </c>
      <c r="AC124" s="3032"/>
      <c r="AD124" s="3545">
        <v>2011</v>
      </c>
    </row>
    <row r="125" spans="1:30" s="2139" customFormat="1" ht="13.8" thickBot="1">
      <c r="A125" s="105" t="s">
        <v>57</v>
      </c>
      <c r="B125" s="1390">
        <f>B124/B123</f>
        <v>6.9727891156462579E-2</v>
      </c>
      <c r="C125" s="1383"/>
      <c r="D125" s="1379">
        <f>D124/D123</f>
        <v>6.8143100511073251E-2</v>
      </c>
      <c r="E125" s="1383"/>
      <c r="F125" s="1379">
        <f>F124/F123</f>
        <v>7.9352226720647775E-2</v>
      </c>
      <c r="G125" s="1383"/>
      <c r="H125" s="1379">
        <f>H124/H123</f>
        <v>6.2600321027287326E-2</v>
      </c>
      <c r="I125" s="1383"/>
      <c r="J125" s="1379">
        <f>J124/J123</f>
        <v>4.6251993620414676E-2</v>
      </c>
      <c r="K125" s="1383"/>
      <c r="L125" s="1379">
        <f>L124/L123</f>
        <v>5.5389221556886227E-2</v>
      </c>
      <c r="M125" s="1383"/>
      <c r="N125" s="1472">
        <f>AVERAGE(B124:F124)/AVERAGE(B123:F123)</f>
        <v>7.2524407252440734E-2</v>
      </c>
      <c r="O125" s="1473"/>
      <c r="P125" s="1472">
        <f>AVERAGE(H124:L124)/AVERAGE(H123:L123)</f>
        <v>5.4744525547445251E-2</v>
      </c>
      <c r="Q125" s="1477"/>
      <c r="R125" s="1474">
        <f>P125-N125</f>
        <v>-1.7779881704995483E-2</v>
      </c>
      <c r="S125" s="2749"/>
      <c r="T125" s="3553">
        <f>B124/'Overall Degree Completion PMS I'!B131</f>
        <v>8.4362139917695478E-2</v>
      </c>
      <c r="U125" s="3554"/>
      <c r="V125" s="3554">
        <f>D124/'Overall Degree Completion PMS I'!D131</f>
        <v>8.6767895878524945E-2</v>
      </c>
      <c r="W125" s="3554"/>
      <c r="X125" s="3554">
        <f>F124/'Overall Degree Completion PMS I'!F131</f>
        <v>0.10492505353319058</v>
      </c>
      <c r="Y125" s="3554"/>
      <c r="Z125" s="3554">
        <f>H124/'Overall Degree Completion PMS I'!H131</f>
        <v>8.0912863070539423E-2</v>
      </c>
      <c r="AA125" s="3554"/>
      <c r="AB125" s="3554">
        <f>J124/'Overall Degree Completion PMS I'!J131</f>
        <v>5.3554939981532781E-2</v>
      </c>
      <c r="AC125" s="3554"/>
      <c r="AD125" s="3555">
        <f>L124/'Overall Degree Completion PMS I'!L131</f>
        <v>7.2265625E-2</v>
      </c>
    </row>
    <row r="126" spans="1:30" s="2169" customFormat="1" ht="13.8" thickBot="1">
      <c r="A126" s="2168"/>
      <c r="B126" s="38"/>
      <c r="C126" s="38"/>
      <c r="D126" s="38"/>
      <c r="E126" s="38"/>
      <c r="F126" s="38"/>
      <c r="G126" s="38"/>
      <c r="H126" s="38"/>
      <c r="I126" s="38"/>
      <c r="J126" s="38"/>
      <c r="K126" s="38"/>
      <c r="L126" s="38"/>
      <c r="M126" s="38"/>
      <c r="N126" s="1475"/>
      <c r="O126" s="1476"/>
      <c r="P126" s="1475"/>
      <c r="Q126" s="1476"/>
      <c r="R126" s="1475"/>
      <c r="S126" s="3240"/>
      <c r="X126" s="3178"/>
      <c r="Y126" s="3178"/>
    </row>
    <row r="127" spans="1:30" s="2156" customFormat="1" ht="21.75" customHeight="1" thickBot="1">
      <c r="A127" s="442" t="s">
        <v>206</v>
      </c>
      <c r="B127" s="2158" t="s">
        <v>2</v>
      </c>
      <c r="C127" s="2159"/>
      <c r="D127" s="2160" t="s">
        <v>3</v>
      </c>
      <c r="E127" s="2159"/>
      <c r="F127" s="2161" t="s">
        <v>4</v>
      </c>
      <c r="G127" s="2159"/>
      <c r="H127" s="2162" t="s">
        <v>5</v>
      </c>
      <c r="I127" s="2159"/>
      <c r="J127" s="2162" t="s">
        <v>6</v>
      </c>
      <c r="K127" s="2159"/>
      <c r="L127" s="2162" t="s">
        <v>7</v>
      </c>
      <c r="M127" s="2159"/>
      <c r="N127" s="1384" t="s">
        <v>33</v>
      </c>
      <c r="O127" s="1378"/>
      <c r="P127" s="1384" t="s">
        <v>34</v>
      </c>
      <c r="Q127" s="1378"/>
      <c r="R127" s="1382" t="s">
        <v>35</v>
      </c>
      <c r="S127" s="3239"/>
      <c r="X127" s="3539"/>
      <c r="Y127" s="3539"/>
    </row>
    <row r="128" spans="1:30" s="2155" customFormat="1">
      <c r="A128" s="2166" t="s">
        <v>153</v>
      </c>
      <c r="B128" s="65"/>
      <c r="C128" s="45"/>
      <c r="D128" s="66"/>
      <c r="E128" s="45"/>
      <c r="F128" s="66"/>
      <c r="G128" s="45"/>
      <c r="H128" s="66"/>
      <c r="I128" s="45"/>
      <c r="J128" s="66"/>
      <c r="K128" s="45"/>
      <c r="L128" s="66"/>
      <c r="M128" s="45"/>
      <c r="N128" s="1389"/>
      <c r="O128" s="1381"/>
      <c r="P128" s="1389"/>
      <c r="Q128" s="1381"/>
      <c r="R128" s="1380"/>
      <c r="S128" s="2749"/>
      <c r="X128" s="3170"/>
      <c r="Y128" s="3170"/>
    </row>
    <row r="129" spans="1:30" s="2155" customFormat="1">
      <c r="A129" s="2157" t="s">
        <v>59</v>
      </c>
      <c r="B129" s="1860"/>
      <c r="C129" s="1861"/>
      <c r="D129" s="1862"/>
      <c r="E129" s="1861"/>
      <c r="F129" s="1862"/>
      <c r="G129" s="1861"/>
      <c r="H129" s="1862"/>
      <c r="I129" s="1861"/>
      <c r="J129" s="1862"/>
      <c r="K129" s="1861"/>
      <c r="L129" s="1862"/>
      <c r="M129" s="1861"/>
      <c r="N129" s="1391"/>
      <c r="O129" s="1388"/>
      <c r="P129" s="1391"/>
      <c r="Q129" s="1388"/>
      <c r="R129" s="1377"/>
      <c r="S129" s="2749"/>
      <c r="X129" s="3170"/>
      <c r="Y129" s="3170"/>
    </row>
    <row r="130" spans="1:30" s="2155" customFormat="1">
      <c r="A130" s="2157" t="s">
        <v>60</v>
      </c>
      <c r="B130" s="1863"/>
      <c r="C130" s="1864"/>
      <c r="D130" s="1865"/>
      <c r="E130" s="1864"/>
      <c r="F130" s="1865"/>
      <c r="G130" s="1864"/>
      <c r="H130" s="1865"/>
      <c r="I130" s="1864"/>
      <c r="J130" s="1865"/>
      <c r="K130" s="1864"/>
      <c r="L130" s="1865"/>
      <c r="M130" s="1864"/>
      <c r="N130" s="1391"/>
      <c r="O130" s="1388"/>
      <c r="P130" s="1391"/>
      <c r="Q130" s="1387"/>
      <c r="R130" s="1377"/>
      <c r="S130" s="2749"/>
      <c r="X130" s="3170"/>
      <c r="Y130" s="3170"/>
    </row>
    <row r="131" spans="1:30" s="2155" customFormat="1">
      <c r="A131" s="2157" t="s">
        <v>57</v>
      </c>
      <c r="B131" s="76"/>
      <c r="C131" s="77"/>
      <c r="D131" s="78"/>
      <c r="E131" s="77"/>
      <c r="F131" s="78"/>
      <c r="G131" s="77"/>
      <c r="H131" s="78"/>
      <c r="I131" s="77"/>
      <c r="J131" s="78"/>
      <c r="K131" s="77"/>
      <c r="L131" s="78"/>
      <c r="M131" s="77"/>
      <c r="N131" s="1376"/>
      <c r="O131" s="1466"/>
      <c r="P131" s="1376"/>
      <c r="Q131" s="1467"/>
      <c r="R131" s="1468"/>
      <c r="S131" s="2749"/>
      <c r="X131" s="3170"/>
      <c r="Y131" s="3170"/>
    </row>
    <row r="132" spans="1:30" s="2155" customFormat="1">
      <c r="A132" s="2157"/>
      <c r="B132" s="33"/>
      <c r="C132" s="34"/>
      <c r="D132" s="35"/>
      <c r="E132" s="34"/>
      <c r="F132" s="35"/>
      <c r="G132" s="34"/>
      <c r="H132" s="35"/>
      <c r="I132" s="34"/>
      <c r="J132" s="35"/>
      <c r="K132" s="34"/>
      <c r="L132" s="35"/>
      <c r="M132" s="34"/>
      <c r="N132" s="1469"/>
      <c r="O132" s="1470"/>
      <c r="P132" s="1469"/>
      <c r="Q132" s="1470"/>
      <c r="R132" s="1471"/>
      <c r="S132" s="2749"/>
      <c r="X132" s="3170"/>
      <c r="Y132" s="3170"/>
    </row>
    <row r="133" spans="1:30" s="2155" customFormat="1" ht="13.8" thickBot="1">
      <c r="A133" s="2167" t="s">
        <v>85</v>
      </c>
      <c r="B133" s="33"/>
      <c r="C133" s="34"/>
      <c r="D133" s="35"/>
      <c r="E133" s="34"/>
      <c r="F133" s="35"/>
      <c r="G133" s="34"/>
      <c r="H133" s="35"/>
      <c r="I133" s="34"/>
      <c r="J133" s="35"/>
      <c r="K133" s="34"/>
      <c r="L133" s="35"/>
      <c r="M133" s="34"/>
      <c r="N133" s="1469"/>
      <c r="O133" s="1470"/>
      <c r="P133" s="1469"/>
      <c r="Q133" s="1470"/>
      <c r="R133" s="1471"/>
      <c r="S133" s="2749"/>
      <c r="X133" s="3170"/>
      <c r="Y133" s="3170"/>
    </row>
    <row r="134" spans="1:30" s="2155" customFormat="1">
      <c r="A134" s="2157" t="s">
        <v>59</v>
      </c>
      <c r="B134" s="1946">
        <v>361</v>
      </c>
      <c r="C134" s="1944"/>
      <c r="D134" s="1945">
        <v>316</v>
      </c>
      <c r="E134" s="1944"/>
      <c r="F134" s="1945">
        <v>343</v>
      </c>
      <c r="G134" s="1944"/>
      <c r="H134" s="1945">
        <v>385</v>
      </c>
      <c r="I134" s="1944"/>
      <c r="J134" s="1945">
        <v>386</v>
      </c>
      <c r="K134" s="1944"/>
      <c r="L134" s="1945">
        <v>444</v>
      </c>
      <c r="M134" s="1861"/>
      <c r="N134" s="962">
        <f>AVERAGE(B134:F134)</f>
        <v>340</v>
      </c>
      <c r="O134" s="963"/>
      <c r="P134" s="962">
        <f>AVERAGE(H134:L134)</f>
        <v>405</v>
      </c>
      <c r="Q134" s="963"/>
      <c r="R134" s="964">
        <f>P134-N134</f>
        <v>65</v>
      </c>
      <c r="S134" s="2749"/>
      <c r="T134" s="4483" t="s">
        <v>367</v>
      </c>
      <c r="U134" s="4484"/>
      <c r="V134" s="4484"/>
      <c r="W134" s="4484"/>
      <c r="X134" s="4484"/>
      <c r="Y134" s="4484"/>
      <c r="Z134" s="4484"/>
      <c r="AA134" s="4484"/>
      <c r="AB134" s="4484"/>
      <c r="AC134" s="4484"/>
      <c r="AD134" s="4485"/>
    </row>
    <row r="135" spans="1:30" s="2155" customFormat="1" ht="13.8" thickBot="1">
      <c r="A135" s="2157" t="s">
        <v>61</v>
      </c>
      <c r="B135" s="2222">
        <v>16</v>
      </c>
      <c r="C135" s="2221" t="s">
        <v>1</v>
      </c>
      <c r="D135" s="2223">
        <v>25</v>
      </c>
      <c r="E135" s="2221"/>
      <c r="F135" s="2223">
        <v>23</v>
      </c>
      <c r="G135" s="2221"/>
      <c r="H135" s="2223">
        <v>30</v>
      </c>
      <c r="I135" s="2221"/>
      <c r="J135" s="2223">
        <v>32</v>
      </c>
      <c r="K135" s="2221"/>
      <c r="L135" s="2223">
        <v>36</v>
      </c>
      <c r="M135" s="1864"/>
      <c r="N135" s="962">
        <f>AVERAGE(B135:F135)</f>
        <v>21.333333333333332</v>
      </c>
      <c r="O135" s="963"/>
      <c r="P135" s="962">
        <f>AVERAGE(H135:L135)</f>
        <v>32.666666666666664</v>
      </c>
      <c r="Q135" s="963"/>
      <c r="R135" s="964">
        <f>P135-N135</f>
        <v>11.333333333333332</v>
      </c>
      <c r="S135" s="2749"/>
      <c r="T135" s="3052">
        <v>2006</v>
      </c>
      <c r="U135" s="3032"/>
      <c r="V135" s="3032">
        <v>2007</v>
      </c>
      <c r="W135" s="3032"/>
      <c r="X135" s="3032">
        <v>2008</v>
      </c>
      <c r="Y135" s="3032"/>
      <c r="Z135" s="3032">
        <v>2009</v>
      </c>
      <c r="AA135" s="3032"/>
      <c r="AB135" s="3032">
        <v>2010</v>
      </c>
      <c r="AC135" s="3032"/>
      <c r="AD135" s="3545">
        <v>2011</v>
      </c>
    </row>
    <row r="136" spans="1:30" s="2155" customFormat="1" ht="13.8" thickBot="1">
      <c r="A136" s="105" t="s">
        <v>57</v>
      </c>
      <c r="B136" s="1390">
        <f>B135/B134</f>
        <v>4.4321329639889197E-2</v>
      </c>
      <c r="C136" s="1383"/>
      <c r="D136" s="1379">
        <f>D135/D134</f>
        <v>7.9113924050632917E-2</v>
      </c>
      <c r="E136" s="1383"/>
      <c r="F136" s="1379">
        <f>F135/F134</f>
        <v>6.7055393586005832E-2</v>
      </c>
      <c r="G136" s="1383"/>
      <c r="H136" s="1379">
        <f>H135/H134</f>
        <v>7.792207792207792E-2</v>
      </c>
      <c r="I136" s="1383"/>
      <c r="J136" s="1379">
        <f>J135/J134</f>
        <v>8.2901554404145081E-2</v>
      </c>
      <c r="K136" s="1383"/>
      <c r="L136" s="1379">
        <f>L135/L134</f>
        <v>8.1081081081081086E-2</v>
      </c>
      <c r="M136" s="1383"/>
      <c r="N136" s="1472">
        <f>AVERAGE(B135:F135)/AVERAGE(B134:F134)</f>
        <v>6.2745098039215685E-2</v>
      </c>
      <c r="O136" s="1473"/>
      <c r="P136" s="1472">
        <f>AVERAGE(H135:L135)/AVERAGE(H134:L134)</f>
        <v>8.0658436213991769E-2</v>
      </c>
      <c r="Q136" s="1477"/>
      <c r="R136" s="1474">
        <f>P136-N136</f>
        <v>1.7913338174776083E-2</v>
      </c>
      <c r="S136" s="2749"/>
      <c r="T136" s="3553">
        <f>B135/'Overall Degree Completion PMS I'!B143</f>
        <v>5.2980132450331126E-2</v>
      </c>
      <c r="U136" s="3554"/>
      <c r="V136" s="3554">
        <f>D135/'Overall Degree Completion PMS I'!D143</f>
        <v>7.8125E-2</v>
      </c>
      <c r="W136" s="3554"/>
      <c r="X136" s="3554">
        <f>F135/'Overall Degree Completion PMS I'!F143</f>
        <v>7.301587301587302E-2</v>
      </c>
      <c r="Y136" s="3554"/>
      <c r="Z136" s="3554">
        <f>H135/'Overall Degree Completion PMS I'!H143</f>
        <v>9.8360655737704916E-2</v>
      </c>
      <c r="AA136" s="3554"/>
      <c r="AB136" s="3554">
        <f>J135/'Overall Degree Completion PMS I'!J143</f>
        <v>0.10256410256410256</v>
      </c>
      <c r="AC136" s="3554"/>
      <c r="AD136" s="3555">
        <f>L135/'Overall Degree Completion PMS I'!L143</f>
        <v>9.7297297297297303E-2</v>
      </c>
    </row>
    <row r="137" spans="1:30" s="2427" customFormat="1" ht="13.8" thickBot="1">
      <c r="A137" s="2421"/>
      <c r="B137" s="38"/>
      <c r="C137" s="38"/>
      <c r="D137" s="38"/>
      <c r="E137" s="38"/>
      <c r="F137" s="38"/>
      <c r="G137" s="38"/>
      <c r="H137" s="38"/>
      <c r="I137" s="38"/>
      <c r="J137" s="38"/>
      <c r="K137" s="38"/>
      <c r="L137" s="38"/>
      <c r="M137" s="38"/>
      <c r="N137" s="1475"/>
      <c r="O137" s="1476"/>
      <c r="P137" s="1475"/>
      <c r="Q137" s="1476"/>
      <c r="R137" s="1475"/>
      <c r="S137" s="3240"/>
      <c r="X137" s="3178"/>
      <c r="Y137" s="3178"/>
    </row>
    <row r="138" spans="1:30" s="2418" customFormat="1" ht="21.75" customHeight="1" thickBot="1">
      <c r="A138" s="442" t="s">
        <v>217</v>
      </c>
      <c r="B138" s="2423" t="s">
        <v>2</v>
      </c>
      <c r="C138" s="2294"/>
      <c r="D138" s="2424" t="s">
        <v>3</v>
      </c>
      <c r="E138" s="2294"/>
      <c r="F138" s="2425" t="s">
        <v>4</v>
      </c>
      <c r="G138" s="2294"/>
      <c r="H138" s="2422" t="s">
        <v>5</v>
      </c>
      <c r="I138" s="2294"/>
      <c r="J138" s="2422" t="s">
        <v>6</v>
      </c>
      <c r="K138" s="2294"/>
      <c r="L138" s="2422" t="s">
        <v>7</v>
      </c>
      <c r="M138" s="2294"/>
      <c r="N138" s="1384" t="s">
        <v>33</v>
      </c>
      <c r="O138" s="1378"/>
      <c r="P138" s="1384" t="s">
        <v>34</v>
      </c>
      <c r="Q138" s="1378"/>
      <c r="R138" s="1382" t="s">
        <v>35</v>
      </c>
      <c r="S138" s="3239"/>
      <c r="X138" s="3539"/>
      <c r="Y138" s="3539"/>
    </row>
    <row r="139" spans="1:30" s="2417" customFormat="1">
      <c r="A139" s="2426" t="s">
        <v>153</v>
      </c>
      <c r="B139" s="65"/>
      <c r="C139" s="45"/>
      <c r="D139" s="66"/>
      <c r="E139" s="45"/>
      <c r="F139" s="66"/>
      <c r="G139" s="45"/>
      <c r="H139" s="66"/>
      <c r="I139" s="45"/>
      <c r="J139" s="66"/>
      <c r="K139" s="45"/>
      <c r="L139" s="66"/>
      <c r="M139" s="45"/>
      <c r="N139" s="1389"/>
      <c r="O139" s="1381"/>
      <c r="P139" s="1389"/>
      <c r="Q139" s="1381"/>
      <c r="R139" s="1380"/>
      <c r="S139" s="2749"/>
      <c r="X139" s="3170"/>
      <c r="Y139" s="3170"/>
    </row>
    <row r="140" spans="1:30" s="2417" customFormat="1">
      <c r="A140" s="2419" t="s">
        <v>59</v>
      </c>
      <c r="B140" s="2428"/>
      <c r="C140" s="2299"/>
      <c r="D140" s="2429"/>
      <c r="E140" s="2299"/>
      <c r="F140" s="2429"/>
      <c r="G140" s="2299"/>
      <c r="H140" s="2429"/>
      <c r="I140" s="2299"/>
      <c r="J140" s="2429"/>
      <c r="K140" s="2299"/>
      <c r="L140" s="2429"/>
      <c r="M140" s="2299"/>
      <c r="N140" s="1391"/>
      <c r="O140" s="1388"/>
      <c r="P140" s="1391"/>
      <c r="Q140" s="1388"/>
      <c r="R140" s="1377"/>
      <c r="S140" s="2749"/>
      <c r="X140" s="3170"/>
      <c r="Y140" s="3170"/>
    </row>
    <row r="141" spans="1:30" s="2417" customFormat="1">
      <c r="A141" s="2419" t="s">
        <v>60</v>
      </c>
      <c r="B141" s="2430"/>
      <c r="C141" s="2301"/>
      <c r="D141" s="2431"/>
      <c r="E141" s="2301"/>
      <c r="F141" s="2431"/>
      <c r="G141" s="2301"/>
      <c r="H141" s="2431"/>
      <c r="I141" s="2301"/>
      <c r="J141" s="2431"/>
      <c r="K141" s="2301"/>
      <c r="L141" s="2431"/>
      <c r="M141" s="2301"/>
      <c r="N141" s="1391"/>
      <c r="O141" s="1388"/>
      <c r="P141" s="1391"/>
      <c r="Q141" s="1387"/>
      <c r="R141" s="1377"/>
      <c r="S141" s="2749"/>
      <c r="X141" s="3170"/>
      <c r="Y141" s="3170"/>
    </row>
    <row r="142" spans="1:30" s="2417" customFormat="1">
      <c r="A142" s="2419" t="s">
        <v>57</v>
      </c>
      <c r="B142" s="76"/>
      <c r="C142" s="77"/>
      <c r="D142" s="78"/>
      <c r="E142" s="77"/>
      <c r="F142" s="78"/>
      <c r="G142" s="77"/>
      <c r="H142" s="78"/>
      <c r="I142" s="77"/>
      <c r="J142" s="78"/>
      <c r="K142" s="77"/>
      <c r="L142" s="78"/>
      <c r="M142" s="77"/>
      <c r="N142" s="1376"/>
      <c r="O142" s="1466"/>
      <c r="P142" s="1376"/>
      <c r="Q142" s="1467"/>
      <c r="R142" s="1468"/>
      <c r="S142" s="2749"/>
      <c r="X142" s="3170"/>
      <c r="Y142" s="3170"/>
    </row>
    <row r="143" spans="1:30" s="2417" customFormat="1">
      <c r="A143" s="2419"/>
      <c r="B143" s="33"/>
      <c r="C143" s="34"/>
      <c r="D143" s="35"/>
      <c r="E143" s="34"/>
      <c r="F143" s="35"/>
      <c r="G143" s="34"/>
      <c r="H143" s="35"/>
      <c r="I143" s="34"/>
      <c r="J143" s="35"/>
      <c r="K143" s="34"/>
      <c r="L143" s="35"/>
      <c r="M143" s="34"/>
      <c r="N143" s="1469"/>
      <c r="O143" s="1470"/>
      <c r="P143" s="1469"/>
      <c r="Q143" s="1470"/>
      <c r="R143" s="1471"/>
      <c r="S143" s="2749"/>
      <c r="X143" s="3170"/>
      <c r="Y143" s="3170"/>
    </row>
    <row r="144" spans="1:30" s="2417" customFormat="1" ht="13.8" thickBot="1">
      <c r="A144" s="2420" t="s">
        <v>85</v>
      </c>
      <c r="B144" s="33"/>
      <c r="C144" s="34"/>
      <c r="D144" s="35"/>
      <c r="E144" s="34"/>
      <c r="F144" s="35"/>
      <c r="G144" s="34"/>
      <c r="H144" s="35"/>
      <c r="I144" s="34"/>
      <c r="J144" s="35"/>
      <c r="K144" s="34"/>
      <c r="L144" s="35"/>
      <c r="M144" s="34"/>
      <c r="N144" s="1469"/>
      <c r="O144" s="1470"/>
      <c r="P144" s="1469"/>
      <c r="Q144" s="1470"/>
      <c r="R144" s="1471"/>
      <c r="S144" s="2749"/>
      <c r="X144" s="3170"/>
      <c r="Y144" s="3170"/>
    </row>
    <row r="145" spans="1:30" s="2417" customFormat="1">
      <c r="A145" s="2419" t="s">
        <v>59</v>
      </c>
      <c r="B145" s="2303">
        <v>1761</v>
      </c>
      <c r="C145" s="2375"/>
      <c r="D145" s="2304">
        <v>1657</v>
      </c>
      <c r="E145" s="2375"/>
      <c r="F145" s="2304">
        <v>1519</v>
      </c>
      <c r="G145" s="2375"/>
      <c r="H145" s="2304">
        <v>1358</v>
      </c>
      <c r="I145" s="2375"/>
      <c r="J145" s="2304">
        <v>1352</v>
      </c>
      <c r="K145" s="2375"/>
      <c r="L145" s="2304">
        <v>1482</v>
      </c>
      <c r="M145" s="2299"/>
      <c r="N145" s="962">
        <f>AVERAGE(B145:F145)</f>
        <v>1645.6666666666667</v>
      </c>
      <c r="O145" s="963"/>
      <c r="P145" s="962">
        <f>AVERAGE(H145:L145)</f>
        <v>1397.3333333333333</v>
      </c>
      <c r="Q145" s="963"/>
      <c r="R145" s="964">
        <f>P145-N145</f>
        <v>-248.33333333333348</v>
      </c>
      <c r="S145" s="2749"/>
      <c r="T145" s="4483" t="s">
        <v>367</v>
      </c>
      <c r="U145" s="4484"/>
      <c r="V145" s="4484"/>
      <c r="W145" s="4484"/>
      <c r="X145" s="4484"/>
      <c r="Y145" s="4484"/>
      <c r="Z145" s="4484"/>
      <c r="AA145" s="4484"/>
      <c r="AB145" s="4484"/>
      <c r="AC145" s="4484"/>
      <c r="AD145" s="4485"/>
    </row>
    <row r="146" spans="1:30" s="2417" customFormat="1" ht="13.8" thickBot="1">
      <c r="A146" s="2419" t="s">
        <v>61</v>
      </c>
      <c r="B146" s="2441">
        <v>357</v>
      </c>
      <c r="C146" s="2442"/>
      <c r="D146" s="2443">
        <v>300</v>
      </c>
      <c r="E146" s="2442"/>
      <c r="F146" s="2443">
        <v>296</v>
      </c>
      <c r="G146" s="2442"/>
      <c r="H146" s="2443">
        <v>273</v>
      </c>
      <c r="I146" s="2442"/>
      <c r="J146" s="2443">
        <v>290</v>
      </c>
      <c r="K146" s="2442"/>
      <c r="L146" s="2443">
        <v>315</v>
      </c>
      <c r="M146" s="2301"/>
      <c r="N146" s="962">
        <f>AVERAGE(B146:F146)</f>
        <v>317.66666666666669</v>
      </c>
      <c r="O146" s="963"/>
      <c r="P146" s="962">
        <f>AVERAGE(H146:L146)</f>
        <v>292.66666666666669</v>
      </c>
      <c r="Q146" s="963"/>
      <c r="R146" s="964">
        <f>P146-N146</f>
        <v>-25</v>
      </c>
      <c r="S146" s="2749"/>
      <c r="T146" s="3052">
        <v>2006</v>
      </c>
      <c r="U146" s="3032"/>
      <c r="V146" s="3032">
        <v>2007</v>
      </c>
      <c r="W146" s="3032"/>
      <c r="X146" s="3032">
        <v>2008</v>
      </c>
      <c r="Y146" s="3032"/>
      <c r="Z146" s="3032">
        <v>2009</v>
      </c>
      <c r="AA146" s="3032"/>
      <c r="AB146" s="3032">
        <v>2010</v>
      </c>
      <c r="AC146" s="3032"/>
      <c r="AD146" s="3545">
        <v>2011</v>
      </c>
    </row>
    <row r="147" spans="1:30" s="2417" customFormat="1" ht="13.8" thickBot="1">
      <c r="A147" s="105" t="s">
        <v>57</v>
      </c>
      <c r="B147" s="1390">
        <f>B146/B145</f>
        <v>0.20272572402044292</v>
      </c>
      <c r="C147" s="1383"/>
      <c r="D147" s="1379">
        <f>D146/D145</f>
        <v>0.18105009052504525</v>
      </c>
      <c r="E147" s="1383"/>
      <c r="F147" s="1379">
        <f>F146/F145</f>
        <v>0.19486504279131006</v>
      </c>
      <c r="G147" s="1383"/>
      <c r="H147" s="1379">
        <f>H146/H145</f>
        <v>0.20103092783505155</v>
      </c>
      <c r="I147" s="1383"/>
      <c r="J147" s="1379">
        <f>J146/J145</f>
        <v>0.21449704142011836</v>
      </c>
      <c r="K147" s="1383"/>
      <c r="L147" s="1379">
        <f>L146/L145</f>
        <v>0.2125506072874494</v>
      </c>
      <c r="M147" s="1383"/>
      <c r="N147" s="1472">
        <f>AVERAGE(B146:F146)/AVERAGE(B145:F145)</f>
        <v>0.19303220579299168</v>
      </c>
      <c r="O147" s="1473"/>
      <c r="P147" s="1472">
        <f>AVERAGE(H146:L146)/AVERAGE(H145:L145)</f>
        <v>0.20944656488549621</v>
      </c>
      <c r="Q147" s="1477"/>
      <c r="R147" s="1474">
        <f>P147-N147</f>
        <v>1.6414359092504521E-2</v>
      </c>
      <c r="S147" s="2749"/>
      <c r="T147" s="3553">
        <f>B146/'Overall Degree Completion PMS I'!B155</f>
        <v>0.28288431061806657</v>
      </c>
      <c r="U147" s="3554"/>
      <c r="V147" s="3554">
        <f>D146/'Overall Degree Completion PMS I'!D155</f>
        <v>0.24979184013322231</v>
      </c>
      <c r="W147" s="3554"/>
      <c r="X147" s="3554">
        <f>F146/'Overall Degree Completion PMS I'!F155</f>
        <v>0.24025974025974026</v>
      </c>
      <c r="Y147" s="3554"/>
      <c r="Z147" s="3554">
        <f>H146/'Overall Degree Completion PMS I'!H155</f>
        <v>0.21857485988791034</v>
      </c>
      <c r="AA147" s="3554"/>
      <c r="AB147" s="3554">
        <f>J146/'Overall Degree Completion PMS I'!J155</f>
        <v>0.26728110599078342</v>
      </c>
      <c r="AC147" s="3554"/>
      <c r="AD147" s="3555">
        <f>L146/'Overall Degree Completion PMS I'!L155</f>
        <v>0.29773156899810965</v>
      </c>
    </row>
    <row r="148" spans="1:30" s="2470" customFormat="1" ht="13.8" thickBot="1">
      <c r="A148" s="2467"/>
      <c r="B148" s="38"/>
      <c r="C148" s="38"/>
      <c r="D148" s="38"/>
      <c r="E148" s="38"/>
      <c r="F148" s="38"/>
      <c r="G148" s="38"/>
      <c r="H148" s="38"/>
      <c r="I148" s="38"/>
      <c r="J148" s="38"/>
      <c r="K148" s="38"/>
      <c r="L148" s="38"/>
      <c r="M148" s="38"/>
      <c r="N148" s="1475"/>
      <c r="O148" s="1476"/>
      <c r="P148" s="1475"/>
      <c r="Q148" s="1476"/>
      <c r="R148" s="1475"/>
      <c r="S148" s="3240"/>
      <c r="X148" s="3178"/>
      <c r="Y148" s="3178"/>
    </row>
    <row r="149" spans="1:30" s="2564" customFormat="1" ht="21.75" customHeight="1" thickBot="1">
      <c r="A149" s="442" t="s">
        <v>224</v>
      </c>
      <c r="B149" s="2568" t="s">
        <v>2</v>
      </c>
      <c r="C149" s="2569"/>
      <c r="D149" s="2570" t="s">
        <v>3</v>
      </c>
      <c r="E149" s="2569"/>
      <c r="F149" s="2571" t="s">
        <v>4</v>
      </c>
      <c r="G149" s="2569"/>
      <c r="H149" s="2567" t="s">
        <v>5</v>
      </c>
      <c r="I149" s="2569"/>
      <c r="J149" s="2567" t="s">
        <v>6</v>
      </c>
      <c r="K149" s="2569"/>
      <c r="L149" s="2567" t="s">
        <v>7</v>
      </c>
      <c r="M149" s="2569"/>
      <c r="N149" s="1384" t="s">
        <v>33</v>
      </c>
      <c r="O149" s="1378"/>
      <c r="P149" s="1384" t="s">
        <v>34</v>
      </c>
      <c r="Q149" s="1378"/>
      <c r="R149" s="1382" t="s">
        <v>35</v>
      </c>
      <c r="S149" s="3239"/>
      <c r="X149" s="3539"/>
      <c r="Y149" s="3539"/>
    </row>
    <row r="150" spans="1:30" s="2563" customFormat="1">
      <c r="A150" s="2572" t="s">
        <v>153</v>
      </c>
      <c r="B150" s="65"/>
      <c r="C150" s="45"/>
      <c r="D150" s="66"/>
      <c r="E150" s="45"/>
      <c r="F150" s="66"/>
      <c r="G150" s="45"/>
      <c r="H150" s="66"/>
      <c r="I150" s="45"/>
      <c r="J150" s="66"/>
      <c r="K150" s="45"/>
      <c r="L150" s="66"/>
      <c r="M150" s="45"/>
      <c r="N150" s="1389"/>
      <c r="O150" s="1381"/>
      <c r="P150" s="1389"/>
      <c r="Q150" s="1381"/>
      <c r="R150" s="1380"/>
      <c r="S150" s="2749"/>
      <c r="X150" s="3170"/>
      <c r="Y150" s="3170"/>
    </row>
    <row r="151" spans="1:30" s="2563" customFormat="1">
      <c r="A151" s="2565" t="s">
        <v>59</v>
      </c>
      <c r="B151" s="2573"/>
      <c r="C151" s="2574"/>
      <c r="D151" s="2575"/>
      <c r="E151" s="2574"/>
      <c r="F151" s="2575"/>
      <c r="G151" s="2574"/>
      <c r="H151" s="2575"/>
      <c r="I151" s="2574"/>
      <c r="J151" s="2575"/>
      <c r="K151" s="2574"/>
      <c r="L151" s="2575"/>
      <c r="M151" s="2574"/>
      <c r="N151" s="1391"/>
      <c r="O151" s="1388"/>
      <c r="P151" s="1391"/>
      <c r="Q151" s="1388"/>
      <c r="R151" s="1377"/>
      <c r="S151" s="2749"/>
      <c r="X151" s="3170"/>
      <c r="Y151" s="3170"/>
    </row>
    <row r="152" spans="1:30" s="2563" customFormat="1">
      <c r="A152" s="2565" t="s">
        <v>60</v>
      </c>
      <c r="B152" s="2576"/>
      <c r="C152" s="2577"/>
      <c r="D152" s="2578"/>
      <c r="E152" s="2577"/>
      <c r="F152" s="2578"/>
      <c r="G152" s="2577"/>
      <c r="H152" s="2578"/>
      <c r="I152" s="2577"/>
      <c r="J152" s="2578"/>
      <c r="K152" s="2577"/>
      <c r="L152" s="2578"/>
      <c r="M152" s="2577"/>
      <c r="N152" s="1391"/>
      <c r="O152" s="1388"/>
      <c r="P152" s="1391"/>
      <c r="Q152" s="1387"/>
      <c r="R152" s="1377"/>
      <c r="S152" s="2749"/>
      <c r="X152" s="3170"/>
      <c r="Y152" s="3170"/>
    </row>
    <row r="153" spans="1:30" s="2563" customFormat="1">
      <c r="A153" s="2565" t="s">
        <v>57</v>
      </c>
      <c r="B153" s="76"/>
      <c r="C153" s="77"/>
      <c r="D153" s="78"/>
      <c r="E153" s="77"/>
      <c r="F153" s="78"/>
      <c r="G153" s="77"/>
      <c r="H153" s="78"/>
      <c r="I153" s="77"/>
      <c r="J153" s="78"/>
      <c r="K153" s="77"/>
      <c r="L153" s="78"/>
      <c r="M153" s="77"/>
      <c r="N153" s="1376"/>
      <c r="O153" s="1466"/>
      <c r="P153" s="1376"/>
      <c r="Q153" s="1467"/>
      <c r="R153" s="1468"/>
      <c r="S153" s="2749"/>
      <c r="X153" s="3170"/>
      <c r="Y153" s="3170"/>
    </row>
    <row r="154" spans="1:30" s="2563" customFormat="1">
      <c r="A154" s="2565"/>
      <c r="B154" s="33"/>
      <c r="C154" s="34"/>
      <c r="D154" s="35"/>
      <c r="E154" s="34"/>
      <c r="F154" s="35"/>
      <c r="G154" s="34"/>
      <c r="H154" s="35"/>
      <c r="I154" s="34"/>
      <c r="J154" s="35"/>
      <c r="K154" s="34"/>
      <c r="L154" s="35"/>
      <c r="M154" s="34"/>
      <c r="N154" s="1469"/>
      <c r="O154" s="1470"/>
      <c r="P154" s="1469"/>
      <c r="Q154" s="1470"/>
      <c r="R154" s="1471"/>
      <c r="S154" s="2749"/>
      <c r="X154" s="3170"/>
      <c r="Y154" s="3170"/>
    </row>
    <row r="155" spans="1:30" s="2563" customFormat="1" ht="13.8" thickBot="1">
      <c r="A155" s="2566" t="s">
        <v>85</v>
      </c>
      <c r="B155" s="33"/>
      <c r="C155" s="34"/>
      <c r="D155" s="35"/>
      <c r="E155" s="34"/>
      <c r="F155" s="35"/>
      <c r="G155" s="34"/>
      <c r="H155" s="35"/>
      <c r="I155" s="34"/>
      <c r="J155" s="35"/>
      <c r="K155" s="34"/>
      <c r="L155" s="35"/>
      <c r="M155" s="34"/>
      <c r="N155" s="1469"/>
      <c r="O155" s="1470"/>
      <c r="P155" s="1469"/>
      <c r="Q155" s="1470"/>
      <c r="R155" s="1471"/>
      <c r="S155" s="2749"/>
      <c r="X155" s="3170"/>
      <c r="Y155" s="3170"/>
    </row>
    <row r="156" spans="1:30" s="2563" customFormat="1">
      <c r="A156" s="2565" t="s">
        <v>59</v>
      </c>
      <c r="B156" s="2303">
        <v>3371</v>
      </c>
      <c r="C156" s="216"/>
      <c r="D156" s="3085">
        <v>3315</v>
      </c>
      <c r="E156" s="216"/>
      <c r="F156" s="2304">
        <v>2976</v>
      </c>
      <c r="G156" s="216"/>
      <c r="H156" s="2304">
        <v>2870</v>
      </c>
      <c r="I156" s="216"/>
      <c r="J156" s="2304">
        <v>3104</v>
      </c>
      <c r="K156" s="216"/>
      <c r="L156" s="2304">
        <v>3038</v>
      </c>
      <c r="M156" s="2574"/>
      <c r="N156" s="962">
        <f>AVERAGE(B156:F156)</f>
        <v>3220.6666666666665</v>
      </c>
      <c r="O156" s="963"/>
      <c r="P156" s="962">
        <f>AVERAGE(H156:L156)</f>
        <v>3004</v>
      </c>
      <c r="Q156" s="963"/>
      <c r="R156" s="964">
        <f>P156-N156</f>
        <v>-216.66666666666652</v>
      </c>
      <c r="S156" s="2749"/>
      <c r="T156" s="4483" t="s">
        <v>367</v>
      </c>
      <c r="U156" s="4484"/>
      <c r="V156" s="4484"/>
      <c r="W156" s="4484"/>
      <c r="X156" s="4484"/>
      <c r="Y156" s="4484"/>
      <c r="Z156" s="4484"/>
      <c r="AA156" s="4484"/>
      <c r="AB156" s="4484"/>
      <c r="AC156" s="4484"/>
      <c r="AD156" s="4485"/>
    </row>
    <row r="157" spans="1:30" s="2563" customFormat="1" ht="13.8" thickBot="1">
      <c r="A157" s="2565" t="s">
        <v>61</v>
      </c>
      <c r="B157" s="2619">
        <v>1146</v>
      </c>
      <c r="C157" s="2620"/>
      <c r="D157" s="3069">
        <v>1138</v>
      </c>
      <c r="E157" s="2620"/>
      <c r="F157" s="2621">
        <v>985</v>
      </c>
      <c r="G157" s="2620"/>
      <c r="H157" s="2621">
        <v>908</v>
      </c>
      <c r="I157" s="2620"/>
      <c r="J157" s="2621">
        <v>967</v>
      </c>
      <c r="K157" s="2620"/>
      <c r="L157" s="2621">
        <v>1040</v>
      </c>
      <c r="M157" s="2577"/>
      <c r="N157" s="962">
        <f>AVERAGE(B157:F157)</f>
        <v>1089.6666666666667</v>
      </c>
      <c r="O157" s="963"/>
      <c r="P157" s="962">
        <f>AVERAGE(H157:L157)</f>
        <v>971.66666666666663</v>
      </c>
      <c r="Q157" s="963"/>
      <c r="R157" s="964">
        <f>P157-N157</f>
        <v>-118.00000000000011</v>
      </c>
      <c r="S157" s="2749"/>
      <c r="T157" s="3052">
        <v>2006</v>
      </c>
      <c r="U157" s="3032"/>
      <c r="V157" s="3032">
        <v>2007</v>
      </c>
      <c r="W157" s="3032"/>
      <c r="X157" s="3032">
        <v>2008</v>
      </c>
      <c r="Y157" s="3032"/>
      <c r="Z157" s="3032">
        <v>2009</v>
      </c>
      <c r="AA157" s="3032"/>
      <c r="AB157" s="3032">
        <v>2010</v>
      </c>
      <c r="AC157" s="3032"/>
      <c r="AD157" s="3545">
        <v>2011</v>
      </c>
    </row>
    <row r="158" spans="1:30" s="2563" customFormat="1" ht="13.8" thickBot="1">
      <c r="A158" s="105" t="s">
        <v>57</v>
      </c>
      <c r="B158" s="1390">
        <f>B157/B156</f>
        <v>0.33995846929694451</v>
      </c>
      <c r="C158" s="1383"/>
      <c r="D158" s="1379">
        <f>D157/D156</f>
        <v>0.34328808446455505</v>
      </c>
      <c r="E158" s="1383"/>
      <c r="F158" s="1379">
        <f>F157/F156</f>
        <v>0.33098118279569894</v>
      </c>
      <c r="G158" s="1383"/>
      <c r="H158" s="1379">
        <f>H157/H156</f>
        <v>0.31637630662020905</v>
      </c>
      <c r="I158" s="1383"/>
      <c r="J158" s="1379">
        <f>J157/J156</f>
        <v>0.31153350515463918</v>
      </c>
      <c r="K158" s="1383"/>
      <c r="L158" s="1379">
        <f>L157/L156</f>
        <v>0.34233048057932852</v>
      </c>
      <c r="M158" s="1383"/>
      <c r="N158" s="1472">
        <f>AVERAGE(B157:F157)/AVERAGE(B156:F156)</f>
        <v>0.33833574829227908</v>
      </c>
      <c r="O158" s="1473"/>
      <c r="P158" s="1472">
        <f>AVERAGE(H157:L157)/AVERAGE(H156:L156)</f>
        <v>0.32345761207279183</v>
      </c>
      <c r="Q158" s="1477"/>
      <c r="R158" s="1474">
        <f>P158-N158</f>
        <v>-1.4878136219487248E-2</v>
      </c>
      <c r="S158" s="2749"/>
      <c r="T158" s="3553">
        <f>B157/'Overall Degree Completion PMS I'!B167</f>
        <v>0.39152716091561324</v>
      </c>
      <c r="U158" s="3554"/>
      <c r="V158" s="3554">
        <f>D157/'Overall Degree Completion PMS I'!D167</f>
        <v>0.39106529209621993</v>
      </c>
      <c r="W158" s="3554"/>
      <c r="X158" s="3554">
        <f>F157/'Overall Degree Completion PMS I'!F167</f>
        <v>0.35988308366824989</v>
      </c>
      <c r="Y158" s="3554"/>
      <c r="Z158" s="3554">
        <f>H157/'Overall Degree Completion PMS I'!H167</f>
        <v>0.37397034596375617</v>
      </c>
      <c r="AA158" s="3554"/>
      <c r="AB158" s="3554">
        <f>J157/'Overall Degree Completion PMS I'!J167</f>
        <v>0.40191188694929342</v>
      </c>
      <c r="AC158" s="3554"/>
      <c r="AD158" s="3555">
        <f>L157/'Overall Degree Completion PMS I'!L167</f>
        <v>0.41783848935315387</v>
      </c>
    </row>
    <row r="159" spans="1:30" s="2736" customFormat="1" ht="13.8" thickBot="1">
      <c r="A159" s="2735"/>
      <c r="B159" s="38"/>
      <c r="C159" s="38"/>
      <c r="D159" s="38"/>
      <c r="E159" s="38"/>
      <c r="F159" s="38"/>
      <c r="G159" s="38"/>
      <c r="H159" s="38"/>
      <c r="I159" s="38"/>
      <c r="J159" s="38"/>
      <c r="K159" s="38"/>
      <c r="L159" s="38"/>
      <c r="M159" s="38"/>
      <c r="N159" s="1475"/>
      <c r="O159" s="1476"/>
      <c r="P159" s="1475"/>
      <c r="Q159" s="1476"/>
      <c r="R159" s="1475"/>
      <c r="S159" s="3240"/>
      <c r="X159" s="3178"/>
      <c r="Y159" s="3178"/>
    </row>
    <row r="160" spans="1:30" s="2731" customFormat="1" ht="21.75" customHeight="1" thickBot="1">
      <c r="A160" s="442" t="s">
        <v>225</v>
      </c>
      <c r="B160" s="2726" t="s">
        <v>2</v>
      </c>
      <c r="C160" s="2727"/>
      <c r="D160" s="2728" t="s">
        <v>3</v>
      </c>
      <c r="E160" s="2727"/>
      <c r="F160" s="2729" t="s">
        <v>4</v>
      </c>
      <c r="G160" s="2727"/>
      <c r="H160" s="2730" t="s">
        <v>5</v>
      </c>
      <c r="I160" s="2727"/>
      <c r="J160" s="2730" t="s">
        <v>6</v>
      </c>
      <c r="K160" s="2727"/>
      <c r="L160" s="2730" t="s">
        <v>7</v>
      </c>
      <c r="M160" s="2727"/>
      <c r="N160" s="1384" t="s">
        <v>33</v>
      </c>
      <c r="O160" s="1378"/>
      <c r="P160" s="1384" t="s">
        <v>34</v>
      </c>
      <c r="Q160" s="1378"/>
      <c r="R160" s="1382" t="s">
        <v>35</v>
      </c>
      <c r="S160" s="3239"/>
      <c r="X160" s="3539"/>
      <c r="Y160" s="3539"/>
    </row>
    <row r="161" spans="1:30" s="2725" customFormat="1">
      <c r="A161" s="2734" t="s">
        <v>153</v>
      </c>
      <c r="B161" s="65"/>
      <c r="C161" s="45"/>
      <c r="D161" s="66"/>
      <c r="E161" s="45"/>
      <c r="F161" s="66"/>
      <c r="G161" s="45"/>
      <c r="H161" s="66"/>
      <c r="I161" s="45"/>
      <c r="J161" s="66"/>
      <c r="K161" s="45"/>
      <c r="L161" s="66"/>
      <c r="M161" s="45"/>
      <c r="N161" s="1389"/>
      <c r="O161" s="1381"/>
      <c r="P161" s="1389"/>
      <c r="Q161" s="1381"/>
      <c r="R161" s="1380"/>
      <c r="S161" s="2749"/>
      <c r="X161" s="3170"/>
      <c r="Y161" s="3170"/>
    </row>
    <row r="162" spans="1:30" s="2725" customFormat="1">
      <c r="A162" s="2732" t="s">
        <v>59</v>
      </c>
      <c r="B162" s="2616"/>
      <c r="C162" s="2617"/>
      <c r="D162" s="2618"/>
      <c r="E162" s="2617"/>
      <c r="F162" s="2618"/>
      <c r="G162" s="2617"/>
      <c r="H162" s="2618"/>
      <c r="I162" s="2617"/>
      <c r="J162" s="2618"/>
      <c r="K162" s="2617"/>
      <c r="L162" s="2618"/>
      <c r="M162" s="2617"/>
      <c r="N162" s="1391"/>
      <c r="O162" s="1388"/>
      <c r="P162" s="1391"/>
      <c r="Q162" s="1388"/>
      <c r="R162" s="1377"/>
      <c r="S162" s="2749"/>
      <c r="X162" s="3170"/>
      <c r="Y162" s="3170"/>
    </row>
    <row r="163" spans="1:30" s="2725" customFormat="1">
      <c r="A163" s="2732" t="s">
        <v>60</v>
      </c>
      <c r="B163" s="2619"/>
      <c r="C163" s="2620"/>
      <c r="D163" s="2621"/>
      <c r="E163" s="2620"/>
      <c r="F163" s="2621"/>
      <c r="G163" s="2620"/>
      <c r="H163" s="2621"/>
      <c r="I163" s="2620"/>
      <c r="J163" s="2621"/>
      <c r="K163" s="2620"/>
      <c r="L163" s="2621"/>
      <c r="M163" s="2620"/>
      <c r="N163" s="1391"/>
      <c r="O163" s="1388"/>
      <c r="P163" s="1391"/>
      <c r="Q163" s="1387"/>
      <c r="R163" s="1377"/>
      <c r="S163" s="2749"/>
      <c r="X163" s="3170"/>
      <c r="Y163" s="3170"/>
    </row>
    <row r="164" spans="1:30" s="2725" customFormat="1">
      <c r="A164" s="2732" t="s">
        <v>57</v>
      </c>
      <c r="B164" s="76"/>
      <c r="C164" s="77"/>
      <c r="D164" s="78"/>
      <c r="E164" s="77"/>
      <c r="F164" s="78"/>
      <c r="G164" s="77"/>
      <c r="H164" s="78"/>
      <c r="I164" s="77"/>
      <c r="J164" s="78"/>
      <c r="K164" s="77"/>
      <c r="L164" s="78"/>
      <c r="M164" s="77"/>
      <c r="N164" s="1376"/>
      <c r="O164" s="1466"/>
      <c r="P164" s="1376"/>
      <c r="Q164" s="1467"/>
      <c r="R164" s="1468"/>
      <c r="S164" s="2749"/>
      <c r="X164" s="3170"/>
      <c r="Y164" s="3170"/>
    </row>
    <row r="165" spans="1:30" s="2725" customFormat="1">
      <c r="A165" s="2732"/>
      <c r="B165" s="33"/>
      <c r="C165" s="34"/>
      <c r="D165" s="35"/>
      <c r="E165" s="34"/>
      <c r="F165" s="35"/>
      <c r="G165" s="34"/>
      <c r="H165" s="35"/>
      <c r="I165" s="34"/>
      <c r="J165" s="35"/>
      <c r="K165" s="34"/>
      <c r="L165" s="35"/>
      <c r="M165" s="34"/>
      <c r="N165" s="1469"/>
      <c r="O165" s="1470"/>
      <c r="P165" s="1469"/>
      <c r="Q165" s="1470"/>
      <c r="R165" s="1471"/>
      <c r="S165" s="2749"/>
      <c r="X165" s="3170"/>
      <c r="Y165" s="3170"/>
    </row>
    <row r="166" spans="1:30" s="2725" customFormat="1" ht="13.8" thickBot="1">
      <c r="A166" s="2733" t="s">
        <v>85</v>
      </c>
      <c r="B166" s="33"/>
      <c r="C166" s="34"/>
      <c r="D166" s="35"/>
      <c r="E166" s="34"/>
      <c r="F166" s="35"/>
      <c r="G166" s="34"/>
      <c r="H166" s="35"/>
      <c r="I166" s="34"/>
      <c r="J166" s="35"/>
      <c r="K166" s="34"/>
      <c r="L166" s="35"/>
      <c r="M166" s="34"/>
      <c r="N166" s="1469"/>
      <c r="O166" s="1470"/>
      <c r="P166" s="1469"/>
      <c r="Q166" s="1470"/>
      <c r="R166" s="1471"/>
      <c r="S166" s="2749"/>
      <c r="X166" s="3170"/>
      <c r="Y166" s="3170"/>
    </row>
    <row r="167" spans="1:30" s="2725" customFormat="1">
      <c r="A167" s="2732" t="s">
        <v>59</v>
      </c>
      <c r="B167" s="1946">
        <v>1752</v>
      </c>
      <c r="C167" s="1944"/>
      <c r="D167" s="1945">
        <v>1831</v>
      </c>
      <c r="E167" s="1944"/>
      <c r="F167" s="1945">
        <v>1851</v>
      </c>
      <c r="G167" s="1944"/>
      <c r="H167" s="1945">
        <v>1906</v>
      </c>
      <c r="I167" s="1944"/>
      <c r="J167" s="1945">
        <v>1835</v>
      </c>
      <c r="K167" s="1944"/>
      <c r="L167" s="1945">
        <v>1902</v>
      </c>
      <c r="M167" s="2617"/>
      <c r="N167" s="962">
        <f>AVERAGE(B167:F167)</f>
        <v>1811.3333333333333</v>
      </c>
      <c r="O167" s="963"/>
      <c r="P167" s="962">
        <f>AVERAGE(H167:L167)</f>
        <v>1881</v>
      </c>
      <c r="Q167" s="963"/>
      <c r="R167" s="964">
        <f>P167-N167</f>
        <v>69.666666666666742</v>
      </c>
      <c r="S167" s="2749"/>
      <c r="T167" s="4483" t="s">
        <v>367</v>
      </c>
      <c r="U167" s="4484"/>
      <c r="V167" s="4484"/>
      <c r="W167" s="4484"/>
      <c r="X167" s="4484"/>
      <c r="Y167" s="4484"/>
      <c r="Z167" s="4484"/>
      <c r="AA167" s="4484"/>
      <c r="AB167" s="4484"/>
      <c r="AC167" s="4484"/>
      <c r="AD167" s="4485"/>
    </row>
    <row r="168" spans="1:30" s="2725" customFormat="1" ht="13.8" thickBot="1">
      <c r="A168" s="2732" t="s">
        <v>61</v>
      </c>
      <c r="B168" s="2746">
        <v>207</v>
      </c>
      <c r="C168" s="2744"/>
      <c r="D168" s="2745">
        <v>252</v>
      </c>
      <c r="E168" s="2744"/>
      <c r="F168" s="2745">
        <v>254</v>
      </c>
      <c r="G168" s="2744"/>
      <c r="H168" s="2745">
        <v>290</v>
      </c>
      <c r="I168" s="2744"/>
      <c r="J168" s="2745">
        <v>301</v>
      </c>
      <c r="K168" s="2744"/>
      <c r="L168" s="2745">
        <v>273</v>
      </c>
      <c r="M168" s="2620"/>
      <c r="N168" s="962">
        <f>AVERAGE(B168:F168)</f>
        <v>237.66666666666666</v>
      </c>
      <c r="O168" s="963"/>
      <c r="P168" s="962">
        <f>AVERAGE(H168:L168)</f>
        <v>288</v>
      </c>
      <c r="Q168" s="963"/>
      <c r="R168" s="964">
        <f>P168-N168</f>
        <v>50.333333333333343</v>
      </c>
      <c r="S168" s="2749"/>
      <c r="T168" s="3052">
        <v>2006</v>
      </c>
      <c r="U168" s="3032"/>
      <c r="V168" s="3032">
        <v>2007</v>
      </c>
      <c r="W168" s="3032"/>
      <c r="X168" s="3032">
        <v>2008</v>
      </c>
      <c r="Y168" s="3032"/>
      <c r="Z168" s="3032">
        <v>2009</v>
      </c>
      <c r="AA168" s="3032"/>
      <c r="AB168" s="3032">
        <v>2010</v>
      </c>
      <c r="AC168" s="3032"/>
      <c r="AD168" s="3545">
        <v>2011</v>
      </c>
    </row>
    <row r="169" spans="1:30" s="2725" customFormat="1" ht="13.8" thickBot="1">
      <c r="A169" s="2737" t="s">
        <v>57</v>
      </c>
      <c r="B169" s="1390">
        <f>B168/B167</f>
        <v>0.11815068493150685</v>
      </c>
      <c r="C169" s="1383"/>
      <c r="D169" s="1379">
        <f>D168/D167</f>
        <v>0.13762971054068815</v>
      </c>
      <c r="E169" s="1383"/>
      <c r="F169" s="1379">
        <f>F168/F167</f>
        <v>0.13722312263641276</v>
      </c>
      <c r="G169" s="1383"/>
      <c r="H169" s="1379">
        <f>H168/H167</f>
        <v>0.1521511017838405</v>
      </c>
      <c r="I169" s="1383"/>
      <c r="J169" s="1379">
        <f>J168/J167</f>
        <v>0.16403269754768393</v>
      </c>
      <c r="K169" s="1383"/>
      <c r="L169" s="1379">
        <f>L168/L167</f>
        <v>0.14353312302839116</v>
      </c>
      <c r="M169" s="1383"/>
      <c r="N169" s="1472">
        <f>AVERAGE(B168:F168)/AVERAGE(B167:F167)</f>
        <v>0.1312108943687891</v>
      </c>
      <c r="O169" s="1473"/>
      <c r="P169" s="1472">
        <f>AVERAGE(H168:L168)/AVERAGE(H167:L167)</f>
        <v>0.15311004784688995</v>
      </c>
      <c r="Q169" s="1477"/>
      <c r="R169" s="1474">
        <f>P169-N169</f>
        <v>2.1899153478100841E-2</v>
      </c>
      <c r="S169" s="2749"/>
      <c r="T169" s="3553">
        <f>B168/'Overall Degree Completion PMS I'!B179</f>
        <v>0.21720881427072403</v>
      </c>
      <c r="U169" s="3554"/>
      <c r="V169" s="3554">
        <f>D168/'Overall Degree Completion PMS I'!D179</f>
        <v>0.23931623931623933</v>
      </c>
      <c r="W169" s="3554"/>
      <c r="X169" s="3554">
        <f>F168/'Overall Degree Completion PMS I'!F179</f>
        <v>0.23049001814882034</v>
      </c>
      <c r="Y169" s="3554"/>
      <c r="Z169" s="3554">
        <f>H168/'Overall Degree Completion PMS I'!H179</f>
        <v>0.25505716798592787</v>
      </c>
      <c r="AA169" s="3554"/>
      <c r="AB169" s="3554">
        <f>J168/'Overall Degree Completion PMS I'!J179</f>
        <v>0.24979253112033195</v>
      </c>
      <c r="AC169" s="3554"/>
      <c r="AD169" s="3555">
        <f>L168/'Overall Degree Completion PMS I'!L179</f>
        <v>0.23575129533678757</v>
      </c>
    </row>
    <row r="170" spans="1:30" s="2984" customFormat="1" ht="13.8" thickBot="1">
      <c r="A170" s="2977"/>
      <c r="B170" s="38"/>
      <c r="C170" s="38"/>
      <c r="D170" s="38"/>
      <c r="E170" s="38"/>
      <c r="F170" s="38"/>
      <c r="G170" s="38"/>
      <c r="H170" s="38"/>
      <c r="I170" s="38"/>
      <c r="J170" s="38"/>
      <c r="K170" s="38"/>
      <c r="L170" s="38"/>
      <c r="M170" s="38"/>
      <c r="N170" s="1475"/>
      <c r="O170" s="1476"/>
      <c r="P170" s="1475"/>
      <c r="Q170" s="1476"/>
      <c r="R170" s="1475"/>
      <c r="S170" s="3240"/>
      <c r="X170" s="3178"/>
      <c r="Y170" s="3178"/>
    </row>
    <row r="171" spans="1:30" s="2973" customFormat="1" ht="21.75" customHeight="1" thickBot="1">
      <c r="A171" s="2988" t="s">
        <v>244</v>
      </c>
      <c r="B171" s="2979" t="s">
        <v>2</v>
      </c>
      <c r="C171" s="2980"/>
      <c r="D171" s="2981" t="s">
        <v>3</v>
      </c>
      <c r="E171" s="2980"/>
      <c r="F171" s="2982" t="s">
        <v>4</v>
      </c>
      <c r="G171" s="2980"/>
      <c r="H171" s="2978" t="s">
        <v>5</v>
      </c>
      <c r="I171" s="2980"/>
      <c r="J171" s="2978" t="s">
        <v>6</v>
      </c>
      <c r="K171" s="2980"/>
      <c r="L171" s="2978" t="s">
        <v>7</v>
      </c>
      <c r="M171" s="2980"/>
      <c r="N171" s="1384" t="s">
        <v>33</v>
      </c>
      <c r="O171" s="1378"/>
      <c r="P171" s="1384" t="s">
        <v>34</v>
      </c>
      <c r="Q171" s="1378"/>
      <c r="R171" s="1382" t="s">
        <v>35</v>
      </c>
      <c r="S171" s="3239"/>
      <c r="X171" s="3539"/>
      <c r="Y171" s="3539"/>
    </row>
    <row r="172" spans="1:30" s="2971" customFormat="1">
      <c r="A172" s="2983" t="s">
        <v>153</v>
      </c>
      <c r="B172" s="65"/>
      <c r="C172" s="45"/>
      <c r="D172" s="66"/>
      <c r="E172" s="45"/>
      <c r="F172" s="66"/>
      <c r="G172" s="45"/>
      <c r="H172" s="66"/>
      <c r="I172" s="45"/>
      <c r="J172" s="66"/>
      <c r="K172" s="45"/>
      <c r="L172" s="66"/>
      <c r="M172" s="45"/>
      <c r="N172" s="1389"/>
      <c r="O172" s="1381"/>
      <c r="P172" s="1389"/>
      <c r="Q172" s="1381"/>
      <c r="R172" s="1380"/>
      <c r="S172" s="2749"/>
      <c r="X172" s="3170"/>
      <c r="Y172" s="3170"/>
    </row>
    <row r="173" spans="1:30" s="2971" customFormat="1">
      <c r="A173" s="2975" t="s">
        <v>59</v>
      </c>
      <c r="B173" s="3083">
        <v>4576</v>
      </c>
      <c r="C173" s="3084"/>
      <c r="D173" s="3085">
        <v>4848</v>
      </c>
      <c r="E173" s="3084"/>
      <c r="F173" s="3085">
        <v>5585</v>
      </c>
      <c r="G173" s="3084"/>
      <c r="H173" s="3085">
        <v>6676</v>
      </c>
      <c r="I173" s="3084"/>
      <c r="J173" s="3085">
        <v>9236</v>
      </c>
      <c r="K173" s="3084"/>
      <c r="L173" s="3085">
        <v>10141</v>
      </c>
      <c r="M173" s="2985"/>
      <c r="N173" s="962">
        <f>AVERAGE(B173:F173)</f>
        <v>5003</v>
      </c>
      <c r="O173" s="963"/>
      <c r="P173" s="962">
        <f>AVERAGE(H173:L173)</f>
        <v>8684.3333333333339</v>
      </c>
      <c r="Q173" s="963"/>
      <c r="R173" s="964">
        <f>P173-N173</f>
        <v>3681.3333333333339</v>
      </c>
      <c r="S173" s="2749"/>
      <c r="X173" s="3170"/>
      <c r="Y173" s="3170"/>
    </row>
    <row r="174" spans="1:30" s="2971" customFormat="1">
      <c r="A174" s="2975" t="s">
        <v>60</v>
      </c>
      <c r="B174" s="3067">
        <v>136</v>
      </c>
      <c r="C174" s="3068"/>
      <c r="D174" s="3069">
        <v>121</v>
      </c>
      <c r="E174" s="3068"/>
      <c r="F174" s="3069">
        <v>95</v>
      </c>
      <c r="G174" s="3068"/>
      <c r="H174" s="3069">
        <v>177</v>
      </c>
      <c r="I174" s="3068"/>
      <c r="J174" s="3069">
        <v>308</v>
      </c>
      <c r="K174" s="3068"/>
      <c r="L174" s="3069">
        <v>242</v>
      </c>
      <c r="M174" s="2986"/>
      <c r="N174" s="962">
        <f>AVERAGE(B174:F174)</f>
        <v>117.33333333333333</v>
      </c>
      <c r="O174" s="963"/>
      <c r="P174" s="962">
        <f>AVERAGE(H174:L174)</f>
        <v>242.33333333333334</v>
      </c>
      <c r="Q174" s="963"/>
      <c r="R174" s="964">
        <f>P174-N174</f>
        <v>125.00000000000001</v>
      </c>
      <c r="S174" s="2749"/>
      <c r="X174" s="3170"/>
      <c r="Y174" s="3170"/>
    </row>
    <row r="175" spans="1:30" s="3028" customFormat="1">
      <c r="A175" s="3036" t="s">
        <v>57</v>
      </c>
      <c r="B175" s="3024">
        <f>B174/B173</f>
        <v>2.972027972027972E-2</v>
      </c>
      <c r="C175" s="1480"/>
      <c r="D175" s="1479">
        <f>D174/D173</f>
        <v>2.4958745874587459E-2</v>
      </c>
      <c r="E175" s="1480"/>
      <c r="F175" s="1479">
        <f>F174/F173</f>
        <v>1.7009847806624886E-2</v>
      </c>
      <c r="G175" s="1480"/>
      <c r="H175" s="1479">
        <f>H174/H173</f>
        <v>2.651288196524865E-2</v>
      </c>
      <c r="I175" s="1480"/>
      <c r="J175" s="1479">
        <f>J174/J173</f>
        <v>3.3347769597228238E-2</v>
      </c>
      <c r="K175" s="1480"/>
      <c r="L175" s="1479">
        <f>L174/L173</f>
        <v>2.3863524307267528E-2</v>
      </c>
      <c r="M175" s="1480"/>
      <c r="N175" s="1376">
        <f>AVERAGE(B174:F174)/AVERAGE(B173:F173)</f>
        <v>2.3452595109600904E-2</v>
      </c>
      <c r="O175" s="1466"/>
      <c r="P175" s="1376">
        <f>AVERAGE(H174:L174)/AVERAGE(H173:L173)</f>
        <v>2.7904655893755036E-2</v>
      </c>
      <c r="Q175" s="1481"/>
      <c r="R175" s="1468">
        <f>P175-N175</f>
        <v>4.4520607841541313E-3</v>
      </c>
      <c r="S175" s="2749"/>
      <c r="U175" s="3259"/>
      <c r="V175" s="3259"/>
      <c r="W175" s="3259"/>
      <c r="X175" s="3259"/>
      <c r="Y175" s="3259"/>
      <c r="Z175" s="3260"/>
    </row>
    <row r="176" spans="1:30" s="2971" customFormat="1">
      <c r="A176" s="2975"/>
      <c r="B176" s="33"/>
      <c r="C176" s="34"/>
      <c r="D176" s="35"/>
      <c r="E176" s="34"/>
      <c r="F176" s="35"/>
      <c r="G176" s="34"/>
      <c r="H176" s="35"/>
      <c r="I176" s="34"/>
      <c r="J176" s="35"/>
      <c r="K176" s="34"/>
      <c r="L176" s="35"/>
      <c r="M176" s="34"/>
      <c r="N176" s="1469"/>
      <c r="O176" s="1470"/>
      <c r="P176" s="1469"/>
      <c r="Q176" s="1470"/>
      <c r="R176" s="1471"/>
      <c r="S176" s="2749"/>
      <c r="X176" s="3170"/>
      <c r="Y176" s="3170"/>
    </row>
    <row r="177" spans="1:30" s="2971" customFormat="1" ht="13.8" thickBot="1">
      <c r="A177" s="2976" t="s">
        <v>85</v>
      </c>
      <c r="B177" s="33"/>
      <c r="C177" s="34"/>
      <c r="D177" s="35"/>
      <c r="E177" s="34"/>
      <c r="F177" s="35"/>
      <c r="G177" s="34"/>
      <c r="H177" s="35"/>
      <c r="I177" s="34"/>
      <c r="J177" s="35"/>
      <c r="K177" s="34"/>
      <c r="L177" s="35"/>
      <c r="M177" s="34"/>
      <c r="N177" s="1469"/>
      <c r="O177" s="1470"/>
      <c r="P177" s="1469"/>
      <c r="Q177" s="1470"/>
      <c r="R177" s="1471"/>
      <c r="S177" s="2749"/>
      <c r="X177" s="3170"/>
      <c r="Y177" s="3170"/>
    </row>
    <row r="178" spans="1:30" s="2971" customFormat="1">
      <c r="A178" s="2975" t="s">
        <v>59</v>
      </c>
      <c r="B178" s="1946"/>
      <c r="C178" s="1944"/>
      <c r="D178" s="1945"/>
      <c r="E178" s="1944"/>
      <c r="F178" s="1945"/>
      <c r="G178" s="1944"/>
      <c r="H178" s="1945"/>
      <c r="I178" s="1944"/>
      <c r="J178" s="1945"/>
      <c r="K178" s="1944"/>
      <c r="L178" s="1945"/>
      <c r="M178" s="2985"/>
      <c r="N178" s="1391"/>
      <c r="O178" s="1388"/>
      <c r="P178" s="1391"/>
      <c r="Q178" s="1388"/>
      <c r="R178" s="1377"/>
      <c r="S178" s="2749"/>
      <c r="T178" s="4483" t="s">
        <v>367</v>
      </c>
      <c r="U178" s="4484"/>
      <c r="V178" s="4484"/>
      <c r="W178" s="4484"/>
      <c r="X178" s="4484"/>
      <c r="Y178" s="4484"/>
      <c r="Z178" s="4484"/>
      <c r="AA178" s="4484"/>
      <c r="AB178" s="4484"/>
      <c r="AC178" s="4484"/>
      <c r="AD178" s="4485"/>
    </row>
    <row r="179" spans="1:30" s="2971" customFormat="1" ht="13.8" thickBot="1">
      <c r="A179" s="2975" t="s">
        <v>61</v>
      </c>
      <c r="B179" s="2783"/>
      <c r="C179" s="2774"/>
      <c r="D179" s="2782"/>
      <c r="E179" s="2774"/>
      <c r="F179" s="2782"/>
      <c r="G179" s="2774"/>
      <c r="H179" s="2782"/>
      <c r="I179" s="2774"/>
      <c r="J179" s="2782"/>
      <c r="K179" s="2774"/>
      <c r="L179" s="2782"/>
      <c r="M179" s="2986"/>
      <c r="N179" s="1391"/>
      <c r="O179" s="1388"/>
      <c r="P179" s="1391"/>
      <c r="Q179" s="1387"/>
      <c r="R179" s="1377"/>
      <c r="S179" s="2749"/>
      <c r="T179" s="3052">
        <v>2006</v>
      </c>
      <c r="U179" s="3032"/>
      <c r="V179" s="3032">
        <v>2007</v>
      </c>
      <c r="W179" s="3032"/>
      <c r="X179" s="3032">
        <v>2008</v>
      </c>
      <c r="Y179" s="3032"/>
      <c r="Z179" s="3032">
        <v>2009</v>
      </c>
      <c r="AA179" s="3032"/>
      <c r="AB179" s="3032">
        <v>2010</v>
      </c>
      <c r="AC179" s="3032"/>
      <c r="AD179" s="3545">
        <v>2011</v>
      </c>
    </row>
    <row r="180" spans="1:30" s="2971" customFormat="1" ht="13.8" thickBot="1">
      <c r="A180" s="2796" t="s">
        <v>57</v>
      </c>
      <c r="B180" s="1390"/>
      <c r="C180" s="1383"/>
      <c r="D180" s="1379"/>
      <c r="E180" s="1383"/>
      <c r="F180" s="1379"/>
      <c r="G180" s="1383"/>
      <c r="H180" s="1379"/>
      <c r="I180" s="1383"/>
      <c r="J180" s="1379"/>
      <c r="K180" s="1383"/>
      <c r="L180" s="1379"/>
      <c r="M180" s="1383"/>
      <c r="N180" s="1472"/>
      <c r="O180" s="1473"/>
      <c r="P180" s="1472"/>
      <c r="Q180" s="1477"/>
      <c r="R180" s="1474"/>
      <c r="S180" s="2749"/>
      <c r="T180" s="3553">
        <f>B174/'Overall Degree Completion PMS I'!B189</f>
        <v>2.8541448058761805E-2</v>
      </c>
      <c r="U180" s="3554"/>
      <c r="V180" s="3554">
        <f>D174/'Overall Degree Completion PMS I'!D189</f>
        <v>2.4683802529579763E-2</v>
      </c>
      <c r="W180" s="3554"/>
      <c r="X180" s="3554">
        <f>F174/'Overall Degree Completion PMS I'!F189</f>
        <v>1.8237665578805913E-2</v>
      </c>
      <c r="Y180" s="3554"/>
      <c r="Z180" s="3554">
        <f>H174/'Overall Degree Completion PMS I'!H189</f>
        <v>3.2795997776542525E-2</v>
      </c>
      <c r="AA180" s="3554"/>
      <c r="AB180" s="3554">
        <f>J174/'Overall Degree Completion PMS I'!J189</f>
        <v>4.7670639219934995E-2</v>
      </c>
      <c r="AC180" s="3554"/>
      <c r="AD180" s="3555">
        <f>L174/'Overall Degree Completion PMS I'!L189</f>
        <v>3.1863067807768271E-2</v>
      </c>
    </row>
    <row r="181" spans="1:30" s="3178" customFormat="1" ht="13.8" thickBot="1">
      <c r="A181" s="3177"/>
      <c r="B181" s="38"/>
      <c r="C181" s="38"/>
      <c r="D181" s="38"/>
      <c r="E181" s="38"/>
      <c r="F181" s="38"/>
      <c r="G181" s="38"/>
      <c r="H181" s="38"/>
      <c r="I181" s="38"/>
      <c r="J181" s="38"/>
      <c r="K181" s="38"/>
      <c r="L181" s="38"/>
      <c r="M181" s="38"/>
      <c r="N181" s="1475"/>
      <c r="O181" s="1476"/>
      <c r="P181" s="1475"/>
      <c r="Q181" s="1476"/>
      <c r="R181" s="1475"/>
      <c r="S181" s="3240"/>
    </row>
    <row r="182" spans="1:30" s="3169" customFormat="1" ht="36.75" customHeight="1" thickBot="1">
      <c r="A182" s="3076" t="s">
        <v>256</v>
      </c>
      <c r="B182" s="3172" t="s">
        <v>2</v>
      </c>
      <c r="C182" s="3173"/>
      <c r="D182" s="3174" t="s">
        <v>3</v>
      </c>
      <c r="E182" s="3173"/>
      <c r="F182" s="3175" t="s">
        <v>4</v>
      </c>
      <c r="G182" s="3173"/>
      <c r="H182" s="3176" t="s">
        <v>5</v>
      </c>
      <c r="I182" s="3173"/>
      <c r="J182" s="3176" t="s">
        <v>6</v>
      </c>
      <c r="K182" s="3173"/>
      <c r="L182" s="3176" t="s">
        <v>7</v>
      </c>
      <c r="M182" s="3173"/>
      <c r="N182" s="1384" t="s">
        <v>33</v>
      </c>
      <c r="O182" s="1378"/>
      <c r="P182" s="1384" t="s">
        <v>34</v>
      </c>
      <c r="Q182" s="1378"/>
      <c r="R182" s="1382" t="s">
        <v>35</v>
      </c>
      <c r="S182" s="3239"/>
      <c r="X182" s="3539"/>
      <c r="Y182" s="3539"/>
    </row>
    <row r="183" spans="1:30" s="3170" customFormat="1">
      <c r="A183" s="3059" t="s">
        <v>153</v>
      </c>
      <c r="B183" s="65"/>
      <c r="C183" s="45"/>
      <c r="D183" s="66"/>
      <c r="E183" s="45"/>
      <c r="F183" s="66"/>
      <c r="G183" s="45"/>
      <c r="H183" s="66"/>
      <c r="I183" s="45"/>
      <c r="J183" s="66"/>
      <c r="K183" s="45"/>
      <c r="L183" s="66"/>
      <c r="M183" s="45"/>
      <c r="N183" s="1389"/>
      <c r="O183" s="1381"/>
      <c r="P183" s="1389"/>
      <c r="Q183" s="1381"/>
      <c r="R183" s="1380"/>
      <c r="S183" s="2749"/>
    </row>
    <row r="184" spans="1:30" s="3170" customFormat="1">
      <c r="A184" s="3171" t="s">
        <v>59</v>
      </c>
      <c r="B184" s="3083">
        <v>1765</v>
      </c>
      <c r="C184" s="3084"/>
      <c r="D184" s="3085">
        <v>1703</v>
      </c>
      <c r="E184" s="3084"/>
      <c r="F184" s="3085">
        <v>2170</v>
      </c>
      <c r="G184" s="3084"/>
      <c r="H184" s="3085">
        <v>2124</v>
      </c>
      <c r="I184" s="3084"/>
      <c r="J184" s="3085">
        <v>2088</v>
      </c>
      <c r="K184" s="3084"/>
      <c r="L184" s="3085">
        <v>2120</v>
      </c>
      <c r="M184" s="3065"/>
      <c r="N184" s="962">
        <f>AVERAGE(B184:F184)</f>
        <v>1879.3333333333333</v>
      </c>
      <c r="O184" s="963"/>
      <c r="P184" s="962">
        <f>AVERAGE(H184:L184)</f>
        <v>2110.6666666666665</v>
      </c>
      <c r="Q184" s="963"/>
      <c r="R184" s="964">
        <f>P184-N184</f>
        <v>231.33333333333326</v>
      </c>
      <c r="S184" s="2749"/>
    </row>
    <row r="185" spans="1:30" s="3170" customFormat="1">
      <c r="A185" s="3171" t="s">
        <v>60</v>
      </c>
      <c r="B185" s="3067">
        <v>267</v>
      </c>
      <c r="C185" s="3068"/>
      <c r="D185" s="3069">
        <v>294</v>
      </c>
      <c r="E185" s="3068"/>
      <c r="F185" s="3069">
        <v>335</v>
      </c>
      <c r="G185" s="3068"/>
      <c r="H185" s="3069">
        <v>344</v>
      </c>
      <c r="I185" s="3068"/>
      <c r="J185" s="3069">
        <v>293</v>
      </c>
      <c r="K185" s="3068"/>
      <c r="L185" s="3069">
        <v>258</v>
      </c>
      <c r="M185" s="3068"/>
      <c r="N185" s="962">
        <f>AVERAGE(B185:F185)</f>
        <v>298.66666666666669</v>
      </c>
      <c r="O185" s="963"/>
      <c r="P185" s="962">
        <f>AVERAGE(H185:L185)</f>
        <v>298.33333333333331</v>
      </c>
      <c r="Q185" s="963"/>
      <c r="R185" s="964">
        <f>P185-N185</f>
        <v>-0.33333333333337123</v>
      </c>
      <c r="S185" s="2749"/>
    </row>
    <row r="186" spans="1:30" s="3170" customFormat="1">
      <c r="A186" s="3179" t="s">
        <v>57</v>
      </c>
      <c r="B186" s="3024">
        <f>B185/B184</f>
        <v>0.15127478753541077</v>
      </c>
      <c r="C186" s="1480"/>
      <c r="D186" s="1479">
        <f>D185/D184</f>
        <v>0.17263652378156194</v>
      </c>
      <c r="E186" s="1480"/>
      <c r="F186" s="1479">
        <f>F185/F184</f>
        <v>0.15437788018433179</v>
      </c>
      <c r="G186" s="1480"/>
      <c r="H186" s="1479">
        <f>H185/H184</f>
        <v>0.16195856873822975</v>
      </c>
      <c r="I186" s="1480"/>
      <c r="J186" s="1479">
        <f>J185/J184</f>
        <v>0.14032567049808428</v>
      </c>
      <c r="K186" s="1480"/>
      <c r="L186" s="1479">
        <f>L185/L184</f>
        <v>0.12169811320754717</v>
      </c>
      <c r="M186" s="1480"/>
      <c r="N186" s="1376">
        <f>AVERAGE(B185:F185)/AVERAGE(B184:F184)</f>
        <v>0.15892160340546294</v>
      </c>
      <c r="O186" s="1466"/>
      <c r="P186" s="1376">
        <f>AVERAGE(H185:L185)/AVERAGE(H184:L184)</f>
        <v>0.14134554643082756</v>
      </c>
      <c r="Q186" s="1481"/>
      <c r="R186" s="1468">
        <f>P186-N186</f>
        <v>-1.7576056974635379E-2</v>
      </c>
      <c r="S186" s="2749"/>
    </row>
    <row r="187" spans="1:30" s="3170" customFormat="1">
      <c r="A187" s="3171"/>
      <c r="B187" s="33"/>
      <c r="C187" s="34"/>
      <c r="D187" s="35"/>
      <c r="E187" s="34"/>
      <c r="F187" s="35"/>
      <c r="G187" s="34"/>
      <c r="H187" s="35"/>
      <c r="I187" s="34"/>
      <c r="J187" s="35"/>
      <c r="K187" s="34"/>
      <c r="L187" s="35"/>
      <c r="M187" s="34"/>
      <c r="N187" s="1469"/>
      <c r="O187" s="1470"/>
      <c r="P187" s="1469"/>
      <c r="Q187" s="1470"/>
      <c r="R187" s="1471"/>
      <c r="S187" s="2749"/>
    </row>
    <row r="188" spans="1:30" s="3170" customFormat="1" ht="13.8" thickBot="1">
      <c r="A188" s="3181" t="s">
        <v>85</v>
      </c>
      <c r="B188" s="33"/>
      <c r="C188" s="34"/>
      <c r="D188" s="35"/>
      <c r="E188" s="34"/>
      <c r="F188" s="35"/>
      <c r="G188" s="34"/>
      <c r="H188" s="35"/>
      <c r="I188" s="34"/>
      <c r="J188" s="35"/>
      <c r="K188" s="34"/>
      <c r="L188" s="35"/>
      <c r="M188" s="34"/>
      <c r="N188" s="1469"/>
      <c r="O188" s="1470"/>
      <c r="P188" s="1469"/>
      <c r="Q188" s="1470"/>
      <c r="R188" s="1471"/>
      <c r="S188" s="2749"/>
    </row>
    <row r="189" spans="1:30" s="3170" customFormat="1">
      <c r="A189" s="3090" t="s">
        <v>59</v>
      </c>
      <c r="B189" s="1946"/>
      <c r="C189" s="1944"/>
      <c r="D189" s="1945"/>
      <c r="E189" s="1944"/>
      <c r="F189" s="1945"/>
      <c r="G189" s="1944"/>
      <c r="H189" s="1945">
        <v>11</v>
      </c>
      <c r="I189" s="1944"/>
      <c r="J189" s="1945">
        <v>198</v>
      </c>
      <c r="K189" s="1944"/>
      <c r="L189" s="1945">
        <v>175</v>
      </c>
      <c r="M189" s="3065"/>
      <c r="N189" s="1391"/>
      <c r="O189" s="1388"/>
      <c r="P189" s="962">
        <f>AVERAGE(H189:L189)</f>
        <v>128</v>
      </c>
      <c r="Q189" s="1388"/>
      <c r="R189" s="964">
        <f>P189-N189</f>
        <v>128</v>
      </c>
      <c r="S189" s="2749"/>
      <c r="T189" s="4483" t="s">
        <v>367</v>
      </c>
      <c r="U189" s="4484"/>
      <c r="V189" s="4484"/>
      <c r="W189" s="4484"/>
      <c r="X189" s="4484"/>
      <c r="Y189" s="4484"/>
      <c r="Z189" s="4484"/>
      <c r="AA189" s="4484"/>
      <c r="AB189" s="4484"/>
      <c r="AC189" s="4484"/>
      <c r="AD189" s="4485"/>
    </row>
    <row r="190" spans="1:30" s="3170" customFormat="1" ht="13.8" thickBot="1">
      <c r="A190" s="3090" t="s">
        <v>61</v>
      </c>
      <c r="B190" s="2783"/>
      <c r="C190" s="2774"/>
      <c r="D190" s="2782"/>
      <c r="E190" s="2774"/>
      <c r="F190" s="2782"/>
      <c r="G190" s="2774"/>
      <c r="H190" s="2782">
        <v>6</v>
      </c>
      <c r="I190" s="2774"/>
      <c r="J190" s="2782">
        <v>22</v>
      </c>
      <c r="K190" s="2774"/>
      <c r="L190" s="2782">
        <v>28</v>
      </c>
      <c r="M190" s="3068"/>
      <c r="N190" s="1391"/>
      <c r="O190" s="1388"/>
      <c r="P190" s="962">
        <f>AVERAGE(H190:L190)</f>
        <v>18.666666666666668</v>
      </c>
      <c r="Q190" s="1387"/>
      <c r="R190" s="964">
        <f>(P190-N190)/2</f>
        <v>9.3333333333333339</v>
      </c>
      <c r="S190" s="2749"/>
      <c r="T190" s="3052">
        <v>2006</v>
      </c>
      <c r="U190" s="3032"/>
      <c r="V190" s="3032">
        <v>2007</v>
      </c>
      <c r="W190" s="3032"/>
      <c r="X190" s="3032">
        <v>2008</v>
      </c>
      <c r="Y190" s="3032"/>
      <c r="Z190" s="3032">
        <v>2009</v>
      </c>
      <c r="AA190" s="3032"/>
      <c r="AB190" s="3032">
        <v>2010</v>
      </c>
      <c r="AC190" s="3032"/>
      <c r="AD190" s="3545">
        <v>2011</v>
      </c>
    </row>
    <row r="191" spans="1:30" s="3170" customFormat="1" ht="13.8" thickBot="1">
      <c r="A191" s="3182" t="s">
        <v>57</v>
      </c>
      <c r="B191" s="1390" t="e">
        <f>B190/B189</f>
        <v>#DIV/0!</v>
      </c>
      <c r="C191" s="1383"/>
      <c r="D191" s="1379" t="e">
        <f>D190/D189</f>
        <v>#DIV/0!</v>
      </c>
      <c r="E191" s="1383"/>
      <c r="F191" s="1379" t="e">
        <f>F190/F189</f>
        <v>#DIV/0!</v>
      </c>
      <c r="G191" s="1383"/>
      <c r="H191" s="1379">
        <f>H190/H189</f>
        <v>0.54545454545454541</v>
      </c>
      <c r="I191" s="1383"/>
      <c r="J191" s="1379">
        <f>J190/J189</f>
        <v>0.1111111111111111</v>
      </c>
      <c r="K191" s="1383"/>
      <c r="L191" s="1379">
        <f>L190/L189</f>
        <v>0.16</v>
      </c>
      <c r="M191" s="1383"/>
      <c r="N191" s="1472" t="e">
        <f>AVERAGE(B190:F190)/AVERAGE(B189:F189)</f>
        <v>#DIV/0!</v>
      </c>
      <c r="O191" s="1473"/>
      <c r="P191" s="1472">
        <f>AVERAGE(H190:L190)/AVERAGE(H189:L189)</f>
        <v>0.14583333333333334</v>
      </c>
      <c r="Q191" s="1477"/>
      <c r="R191" s="1474" t="e">
        <f>P191-N191</f>
        <v>#DIV/0!</v>
      </c>
      <c r="S191" s="2749"/>
      <c r="T191" s="3553">
        <f>B185/'Overall Degree Completion PMS I'!B201</f>
        <v>0.28648068669527899</v>
      </c>
      <c r="U191" s="3554"/>
      <c r="V191" s="3554">
        <f>D185/'Overall Degree Completion PMS I'!D201</f>
        <v>0.36341161928306553</v>
      </c>
      <c r="W191" s="3554"/>
      <c r="X191" s="3554">
        <f>F185/'Overall Degree Completion PMS I'!F201</f>
        <v>0.39691943127962087</v>
      </c>
      <c r="Y191" s="3554"/>
      <c r="Z191" s="3554">
        <f>H185/'Overall Degree Completion PMS I'!H201</f>
        <v>0.34712411705348134</v>
      </c>
      <c r="AA191" s="3554"/>
      <c r="AB191" s="3554">
        <f>J185/'Overall Degree Completion PMS I'!J201</f>
        <v>0.30648535564853557</v>
      </c>
      <c r="AC191" s="3554"/>
      <c r="AD191" s="3555">
        <f>L185/'Overall Degree Completion PMS I'!L201</f>
        <v>0.25219941348973607</v>
      </c>
    </row>
    <row r="192" spans="1:30" s="1441" customFormat="1">
      <c r="A192" s="1434"/>
      <c r="B192" s="38"/>
      <c r="C192" s="38"/>
      <c r="D192" s="38"/>
      <c r="E192" s="38"/>
      <c r="F192" s="38"/>
      <c r="G192" s="38"/>
      <c r="H192" s="38"/>
      <c r="I192" s="38"/>
      <c r="J192" s="38"/>
      <c r="K192" s="38"/>
      <c r="L192" s="38"/>
      <c r="M192" s="38"/>
      <c r="N192" s="1475"/>
      <c r="O192" s="1476"/>
      <c r="P192" s="1475"/>
      <c r="Q192" s="1476"/>
      <c r="R192" s="1475"/>
      <c r="S192" s="3240"/>
      <c r="X192" s="3178"/>
      <c r="Y192" s="3178"/>
    </row>
    <row r="193" spans="1:19" ht="12" customHeight="1">
      <c r="A193" s="28" t="s">
        <v>12</v>
      </c>
      <c r="B193" s="5"/>
      <c r="C193" s="4"/>
      <c r="D193" s="4"/>
      <c r="E193" s="4"/>
      <c r="F193" s="3"/>
      <c r="G193" s="4"/>
      <c r="H193" s="4"/>
      <c r="I193" s="4"/>
      <c r="J193" s="4"/>
      <c r="L193" s="4"/>
    </row>
    <row r="194" spans="1:19" ht="12" customHeight="1">
      <c r="A194" s="28" t="s">
        <v>164</v>
      </c>
      <c r="B194" s="5"/>
      <c r="C194" s="4"/>
      <c r="D194" s="4"/>
      <c r="E194" s="4"/>
      <c r="F194" s="3"/>
      <c r="G194" s="4"/>
      <c r="H194" s="4"/>
      <c r="I194" s="4"/>
      <c r="J194" s="4"/>
      <c r="L194" s="4"/>
      <c r="M194" s="67"/>
      <c r="N194" s="1478"/>
    </row>
    <row r="195" spans="1:19" ht="12" customHeight="1">
      <c r="A195" s="28"/>
      <c r="B195" s="5"/>
      <c r="C195" s="4"/>
      <c r="D195" s="4"/>
      <c r="E195" s="4"/>
      <c r="F195" s="3"/>
      <c r="G195" s="4"/>
      <c r="H195" s="4"/>
      <c r="I195" s="4"/>
      <c r="J195" s="4"/>
      <c r="L195" s="4"/>
    </row>
    <row r="196" spans="1:19">
      <c r="A196" s="28" t="s">
        <v>147</v>
      </c>
      <c r="B196" s="5"/>
      <c r="C196" s="4"/>
      <c r="D196" s="4"/>
      <c r="E196" s="4"/>
      <c r="F196" s="3"/>
      <c r="G196" s="4"/>
      <c r="H196" s="4"/>
      <c r="I196" s="4"/>
      <c r="J196" s="4"/>
      <c r="L196" s="4"/>
    </row>
    <row r="197" spans="1:19">
      <c r="A197" s="39" t="s">
        <v>50</v>
      </c>
      <c r="B197" s="4"/>
      <c r="C197" s="4"/>
      <c r="D197" s="4"/>
      <c r="E197" s="4"/>
      <c r="F197" s="3"/>
      <c r="G197" s="4"/>
      <c r="H197" s="4"/>
      <c r="I197" s="4"/>
      <c r="J197" s="4"/>
      <c r="L197" s="4"/>
    </row>
    <row r="198" spans="1:19">
      <c r="A198" s="57" t="s">
        <v>148</v>
      </c>
      <c r="B198" s="4"/>
      <c r="C198" s="4"/>
      <c r="D198" s="4"/>
      <c r="E198" s="4"/>
      <c r="F198" s="3"/>
      <c r="G198" s="4"/>
      <c r="H198" s="4"/>
      <c r="I198" s="4"/>
      <c r="J198" s="4"/>
      <c r="L198" s="4"/>
    </row>
    <row r="199" spans="1:19">
      <c r="A199" s="28" t="s">
        <v>58</v>
      </c>
      <c r="B199" s="4"/>
      <c r="C199" s="4"/>
      <c r="D199" s="4"/>
      <c r="E199" s="4"/>
      <c r="F199" s="3"/>
      <c r="G199" s="4"/>
      <c r="H199" s="4"/>
      <c r="I199" s="4"/>
      <c r="J199" s="4"/>
      <c r="L199" s="4"/>
    </row>
    <row r="200" spans="1:19">
      <c r="A200" s="39" t="s">
        <v>163</v>
      </c>
      <c r="B200" s="4"/>
      <c r="C200" s="4"/>
      <c r="D200" s="4"/>
      <c r="E200" s="4"/>
      <c r="F200" s="3"/>
      <c r="G200" s="4"/>
      <c r="H200" s="4"/>
      <c r="I200" s="4"/>
      <c r="J200" s="4"/>
      <c r="L200" s="4"/>
    </row>
    <row r="201" spans="1:19">
      <c r="A201" s="11" t="s">
        <v>1</v>
      </c>
      <c r="B201" s="4"/>
      <c r="C201" s="4"/>
      <c r="D201" s="4"/>
      <c r="E201" s="4"/>
      <c r="F201" s="3"/>
      <c r="G201" s="4"/>
      <c r="H201" s="4"/>
      <c r="I201" s="4"/>
      <c r="J201" s="4"/>
      <c r="L201" s="4"/>
    </row>
    <row r="202" spans="1:19">
      <c r="A202" s="11" t="s">
        <v>86</v>
      </c>
      <c r="B202" s="4"/>
      <c r="C202" s="4"/>
      <c r="D202" s="4"/>
      <c r="E202" s="4"/>
      <c r="F202" s="3"/>
      <c r="G202" s="4"/>
      <c r="H202" s="4"/>
      <c r="I202" s="4"/>
      <c r="J202" s="4"/>
      <c r="L202" s="4"/>
    </row>
    <row r="203" spans="1:19">
      <c r="A203" s="11" t="s">
        <v>117</v>
      </c>
      <c r="B203" s="4"/>
      <c r="C203" s="4"/>
      <c r="D203" s="4"/>
      <c r="E203" s="4"/>
      <c r="F203" s="3"/>
      <c r="G203" s="4"/>
      <c r="H203" s="4"/>
      <c r="I203" s="4"/>
      <c r="J203" s="4"/>
      <c r="L203" s="4"/>
    </row>
    <row r="204" spans="1:19">
      <c r="A204" s="96" t="s">
        <v>165</v>
      </c>
      <c r="B204" s="4"/>
      <c r="C204" s="4"/>
      <c r="D204" s="4"/>
      <c r="E204" s="4"/>
      <c r="F204" s="3"/>
      <c r="G204" s="4"/>
      <c r="H204" s="4"/>
      <c r="I204" s="4"/>
      <c r="J204" s="4"/>
      <c r="L204" s="4"/>
      <c r="R204" s="1478"/>
    </row>
    <row r="205" spans="1:19">
      <c r="A205" s="11" t="s">
        <v>149</v>
      </c>
      <c r="B205" s="4"/>
      <c r="C205" s="4"/>
      <c r="D205" s="4"/>
      <c r="E205" s="4"/>
      <c r="F205" s="3"/>
      <c r="G205" s="4"/>
      <c r="H205" s="4"/>
      <c r="I205" s="4"/>
      <c r="J205" s="4"/>
      <c r="L205" s="4"/>
      <c r="S205" s="3240"/>
    </row>
    <row r="206" spans="1:19">
      <c r="A206" s="96" t="s">
        <v>150</v>
      </c>
      <c r="B206" s="4"/>
      <c r="C206" s="4"/>
      <c r="D206" s="4"/>
      <c r="E206" s="4"/>
      <c r="F206" s="3"/>
      <c r="G206" s="4"/>
      <c r="H206" s="4"/>
      <c r="I206" s="4"/>
      <c r="J206" s="4"/>
      <c r="L206" s="4"/>
    </row>
    <row r="207" spans="1:19">
      <c r="A207" s="107" t="s">
        <v>166</v>
      </c>
      <c r="B207" s="4"/>
      <c r="C207" s="4"/>
      <c r="D207" s="4"/>
      <c r="E207" s="4"/>
      <c r="F207" s="3"/>
      <c r="G207" s="4"/>
      <c r="H207" s="4"/>
      <c r="I207" s="4"/>
      <c r="J207" s="4"/>
      <c r="L207" s="4"/>
    </row>
    <row r="208" spans="1:19">
      <c r="A208" s="96"/>
      <c r="B208" s="4"/>
      <c r="C208" s="4"/>
      <c r="D208" s="4"/>
      <c r="E208" s="4"/>
      <c r="F208" s="3"/>
      <c r="G208" s="4"/>
      <c r="H208" s="4"/>
      <c r="I208" s="4"/>
      <c r="J208" s="4"/>
      <c r="L208" s="4"/>
    </row>
    <row r="209" spans="1:18">
      <c r="A209" s="11" t="s">
        <v>87</v>
      </c>
      <c r="B209" s="4"/>
      <c r="C209" s="4"/>
      <c r="D209" s="4"/>
      <c r="E209" s="4"/>
      <c r="F209" s="3"/>
      <c r="G209" s="4"/>
      <c r="H209" s="4"/>
      <c r="I209" s="4"/>
      <c r="J209" s="4"/>
      <c r="L209" s="4"/>
    </row>
    <row r="210" spans="1:18">
      <c r="A210" s="11" t="s">
        <v>118</v>
      </c>
      <c r="B210" s="4"/>
      <c r="C210" s="4"/>
      <c r="D210" s="4"/>
      <c r="E210" s="4"/>
      <c r="F210" s="3"/>
      <c r="G210" s="4"/>
      <c r="H210" s="4"/>
      <c r="I210" s="4"/>
      <c r="J210" s="4"/>
      <c r="L210" s="4"/>
    </row>
    <row r="211" spans="1:18">
      <c r="A211" s="96" t="s">
        <v>167</v>
      </c>
      <c r="B211" s="4"/>
      <c r="C211" s="4"/>
      <c r="D211" s="4"/>
      <c r="E211" s="4"/>
      <c r="F211" s="3"/>
      <c r="G211" s="4"/>
      <c r="H211" s="4"/>
      <c r="I211" s="4"/>
      <c r="J211" s="4"/>
      <c r="L211" s="4"/>
      <c r="R211" s="1478"/>
    </row>
    <row r="212" spans="1:18">
      <c r="A212" s="11" t="s">
        <v>151</v>
      </c>
      <c r="B212" s="4"/>
      <c r="C212" s="4"/>
      <c r="D212" s="4"/>
      <c r="E212" s="4"/>
      <c r="F212" s="3"/>
      <c r="G212" s="4"/>
      <c r="H212" s="4"/>
      <c r="I212" s="4"/>
      <c r="J212" s="4"/>
      <c r="L212" s="4"/>
    </row>
    <row r="213" spans="1:18">
      <c r="A213" s="96" t="s">
        <v>152</v>
      </c>
      <c r="B213" s="4"/>
      <c r="C213" s="4"/>
      <c r="D213" s="4"/>
      <c r="E213" s="4"/>
      <c r="F213" s="3"/>
      <c r="G213" s="4"/>
      <c r="H213" s="4"/>
      <c r="I213" s="4"/>
      <c r="J213" s="4"/>
      <c r="L213" s="4"/>
    </row>
    <row r="214" spans="1:18">
      <c r="A214" s="107" t="s">
        <v>168</v>
      </c>
      <c r="B214" s="4"/>
      <c r="C214" s="4"/>
      <c r="D214" s="4"/>
      <c r="E214" s="4"/>
      <c r="F214" s="3"/>
      <c r="G214" s="4"/>
      <c r="H214" s="4"/>
      <c r="I214" s="4"/>
      <c r="J214" s="4"/>
      <c r="L214" s="4"/>
    </row>
    <row r="215" spans="1:18">
      <c r="A215" s="96"/>
      <c r="B215" s="4"/>
      <c r="C215" s="4"/>
      <c r="D215" s="4"/>
      <c r="E215" s="4"/>
      <c r="F215" s="3"/>
      <c r="G215" s="4"/>
      <c r="H215" s="4"/>
      <c r="I215" s="4"/>
      <c r="J215" s="4"/>
      <c r="L215" s="4"/>
    </row>
    <row r="216" spans="1:18">
      <c r="A216" s="2142"/>
      <c r="B216" s="4"/>
      <c r="C216" s="4"/>
      <c r="D216" s="4"/>
      <c r="E216" s="4"/>
      <c r="F216" s="3"/>
      <c r="G216" s="4"/>
      <c r="H216" s="4"/>
      <c r="I216" s="4"/>
      <c r="J216" s="4"/>
      <c r="L216" s="4"/>
    </row>
    <row r="217" spans="1:18">
      <c r="A217" s="96"/>
    </row>
    <row r="218" spans="1:18">
      <c r="A218" s="96"/>
    </row>
  </sheetData>
  <mergeCells count="20">
    <mergeCell ref="T145:AD145"/>
    <mergeCell ref="T156:AD156"/>
    <mergeCell ref="T167:AD167"/>
    <mergeCell ref="T178:AD178"/>
    <mergeCell ref="T189:AD189"/>
    <mergeCell ref="T90:AD90"/>
    <mergeCell ref="T101:AD101"/>
    <mergeCell ref="T112:AD112"/>
    <mergeCell ref="T123:AD123"/>
    <mergeCell ref="T134:AD134"/>
    <mergeCell ref="T35:AD35"/>
    <mergeCell ref="T46:AD46"/>
    <mergeCell ref="T57:AD57"/>
    <mergeCell ref="T68:AD68"/>
    <mergeCell ref="T79:AD79"/>
    <mergeCell ref="A2:R2"/>
    <mergeCell ref="A3:R3"/>
    <mergeCell ref="A4:R4"/>
    <mergeCell ref="A1:R1"/>
    <mergeCell ref="T24:AD24"/>
  </mergeCells>
  <printOptions horizontalCentered="1"/>
  <pageMargins left="0.34" right="0.7" top="0.75" bottom="0.75" header="0.3" footer="0.3"/>
  <pageSetup scale="68" orientation="landscape" r:id="rId1"/>
  <headerFooter alignWithMargins="0">
    <oddFooter>&amp;LHouse Ways and Means Cmte Amendment 1001 2-14-13&amp;R&amp;D</oddFoot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58"/>
  <sheetViews>
    <sheetView zoomScale="80" zoomScaleNormal="80" workbookViewId="0">
      <selection activeCell="A14" sqref="A14"/>
    </sheetView>
  </sheetViews>
  <sheetFormatPr defaultColWidth="9.109375" defaultRowHeight="13.2"/>
  <cols>
    <col min="1" max="1" width="60.44140625" style="11" customWidth="1"/>
    <col min="2" max="2" width="13.44140625" style="1" bestFit="1" customWidth="1"/>
    <col min="3" max="3" width="1.44140625" style="1" customWidth="1"/>
    <col min="4" max="4" width="13.44140625" style="1" bestFit="1" customWidth="1"/>
    <col min="5" max="5" width="1.44140625" style="2765" customWidth="1"/>
    <col min="6" max="6" width="13.44140625" style="2" bestFit="1" customWidth="1"/>
    <col min="7" max="7" width="1.44140625" style="2765" customWidth="1"/>
    <col min="8" max="8" width="13.44140625" style="1" bestFit="1" customWidth="1"/>
    <col min="9" max="9" width="1.44140625" style="2765" customWidth="1"/>
    <col min="10" max="10" width="13.44140625" style="1" bestFit="1" customWidth="1"/>
    <col min="11" max="11" width="1.44140625" style="2765" customWidth="1"/>
    <col min="12" max="12" width="13.44140625" style="1" bestFit="1" customWidth="1"/>
    <col min="13" max="13" width="1.44140625" style="1" customWidth="1"/>
    <col min="14" max="14" width="15.5546875" style="1483" customWidth="1"/>
    <col min="15" max="15" width="1.44140625" style="1483" customWidth="1"/>
    <col min="16" max="16" width="13.44140625" style="1483" customWidth="1"/>
    <col min="17" max="17" width="1.44140625" style="1483" customWidth="1"/>
    <col min="18" max="18" width="17" style="1483" customWidth="1"/>
    <col min="19" max="19" width="2.33203125" style="1" customWidth="1"/>
    <col min="20" max="20" width="19.109375" style="3180" customWidth="1"/>
    <col min="21" max="21" width="2.33203125" style="1" customWidth="1"/>
    <col min="22" max="22" width="19.109375" style="3842" customWidth="1"/>
    <col min="23" max="23" width="2.33203125" style="3170" customWidth="1"/>
    <col min="24" max="24" width="19.109375" style="3872" customWidth="1"/>
    <col min="25" max="25" width="2.33203125" style="3170" customWidth="1"/>
    <col min="26" max="26" width="19.33203125" style="3170" customWidth="1"/>
    <col min="27" max="31" width="9.109375" style="1"/>
    <col min="32" max="32" width="10" style="1" customWidth="1"/>
    <col min="33" max="16384" width="9.109375" style="1"/>
  </cols>
  <sheetData>
    <row r="1" spans="1:27">
      <c r="A1" s="4479" t="s">
        <v>74</v>
      </c>
      <c r="B1" s="4479"/>
      <c r="C1" s="4479"/>
      <c r="D1" s="4479"/>
      <c r="E1" s="4479"/>
      <c r="F1" s="4479"/>
      <c r="G1" s="4479"/>
      <c r="H1" s="4479"/>
      <c r="I1" s="4479"/>
      <c r="J1" s="4479"/>
      <c r="K1" s="4479"/>
      <c r="L1" s="4479"/>
      <c r="M1" s="4479"/>
      <c r="N1" s="4479"/>
      <c r="O1" s="4479"/>
      <c r="P1" s="4479"/>
      <c r="Q1" s="4479"/>
      <c r="R1" s="4479"/>
    </row>
    <row r="2" spans="1:27">
      <c r="A2" s="4480" t="s">
        <v>64</v>
      </c>
      <c r="B2" s="4480"/>
      <c r="C2" s="4480"/>
      <c r="D2" s="4480"/>
      <c r="E2" s="4480"/>
      <c r="F2" s="4480"/>
      <c r="G2" s="4480"/>
      <c r="H2" s="4480"/>
      <c r="I2" s="4480"/>
      <c r="J2" s="4480"/>
      <c r="K2" s="4480"/>
      <c r="L2" s="4480"/>
      <c r="M2" s="4480"/>
      <c r="N2" s="4480"/>
      <c r="O2" s="4480"/>
      <c r="P2" s="4480"/>
      <c r="Q2" s="4480"/>
      <c r="R2" s="4480"/>
    </row>
    <row r="3" spans="1:27">
      <c r="A3" s="4481" t="s">
        <v>0</v>
      </c>
      <c r="B3" s="4481"/>
      <c r="C3" s="4481"/>
      <c r="D3" s="4481"/>
      <c r="E3" s="4481"/>
      <c r="F3" s="4481"/>
      <c r="G3" s="4481"/>
      <c r="H3" s="4481"/>
      <c r="I3" s="4481"/>
      <c r="J3" s="4481"/>
      <c r="K3" s="4481"/>
      <c r="L3" s="4481"/>
      <c r="M3" s="4481"/>
      <c r="N3" s="4481"/>
      <c r="O3" s="4481"/>
      <c r="P3" s="4481"/>
      <c r="Q3" s="4481"/>
      <c r="R3" s="4481"/>
    </row>
    <row r="4" spans="1:27">
      <c r="A4" s="4481"/>
      <c r="B4" s="4481"/>
      <c r="C4" s="4481"/>
      <c r="D4" s="4481"/>
      <c r="E4" s="4481"/>
      <c r="F4" s="4481"/>
      <c r="G4" s="4481"/>
      <c r="H4" s="4481"/>
      <c r="I4" s="4481"/>
      <c r="J4" s="4481"/>
      <c r="K4" s="4481"/>
      <c r="L4" s="4481"/>
      <c r="M4" s="4481"/>
      <c r="N4" s="4481"/>
      <c r="O4" s="4481"/>
      <c r="P4" s="4481"/>
      <c r="Q4" s="4481"/>
      <c r="R4" s="4481"/>
    </row>
    <row r="5" spans="1:27" ht="13.8" thickBot="1">
      <c r="A5" s="52" t="s">
        <v>1</v>
      </c>
      <c r="B5" s="52"/>
      <c r="C5" s="52"/>
      <c r="D5" s="52"/>
      <c r="E5" s="2766"/>
      <c r="F5" s="52"/>
      <c r="G5" s="2766"/>
      <c r="H5" s="52"/>
      <c r="I5" s="2766"/>
      <c r="J5" s="52"/>
      <c r="K5" s="2766"/>
      <c r="L5" s="52"/>
      <c r="M5" s="52"/>
      <c r="O5" s="1585"/>
      <c r="Q5" s="1585"/>
    </row>
    <row r="6" spans="1:27" s="7" customFormat="1" ht="45" customHeight="1" thickBot="1">
      <c r="A6" s="442" t="s">
        <v>192</v>
      </c>
      <c r="B6" s="1590" t="s">
        <v>2</v>
      </c>
      <c r="C6" s="1591"/>
      <c r="D6" s="1592" t="s">
        <v>3</v>
      </c>
      <c r="E6" s="2767"/>
      <c r="F6" s="1593" t="s">
        <v>4</v>
      </c>
      <c r="G6" s="2767"/>
      <c r="H6" s="1589" t="s">
        <v>5</v>
      </c>
      <c r="I6" s="2767"/>
      <c r="J6" s="1589" t="s">
        <v>6</v>
      </c>
      <c r="K6" s="2767"/>
      <c r="L6" s="1589" t="s">
        <v>7</v>
      </c>
      <c r="M6" s="1591"/>
      <c r="N6" s="1489" t="s">
        <v>33</v>
      </c>
      <c r="O6" s="1488"/>
      <c r="P6" s="1489" t="s">
        <v>34</v>
      </c>
      <c r="Q6" s="1488"/>
      <c r="R6" s="1486" t="s">
        <v>35</v>
      </c>
      <c r="T6" s="3844" t="s">
        <v>479</v>
      </c>
      <c r="V6" s="3844" t="s">
        <v>480</v>
      </c>
      <c r="W6" s="3872"/>
      <c r="X6" s="3844" t="s">
        <v>487</v>
      </c>
      <c r="Y6" s="3842"/>
      <c r="Z6" s="3844" t="s">
        <v>473</v>
      </c>
    </row>
    <row r="7" spans="1:27">
      <c r="A7" s="1594"/>
      <c r="B7" s="65"/>
      <c r="C7" s="45"/>
      <c r="D7" s="66"/>
      <c r="E7" s="45"/>
      <c r="F7" s="66"/>
      <c r="G7" s="45"/>
      <c r="H7" s="66"/>
      <c r="I7" s="45"/>
      <c r="J7" s="66"/>
      <c r="K7" s="45"/>
      <c r="L7" s="66"/>
      <c r="M7" s="45"/>
      <c r="N7" s="1485"/>
      <c r="O7" s="1487"/>
      <c r="P7" s="1485"/>
      <c r="Q7" s="1487"/>
      <c r="R7" s="1484"/>
      <c r="T7" s="3242"/>
      <c r="V7" s="3242"/>
      <c r="X7" s="3242"/>
      <c r="Z7" s="103"/>
    </row>
    <row r="8" spans="1:27">
      <c r="A8" s="1588" t="s">
        <v>194</v>
      </c>
      <c r="B8" s="1603">
        <v>73183</v>
      </c>
      <c r="C8" s="1602"/>
      <c r="D8" s="1604">
        <v>72825</v>
      </c>
      <c r="E8" s="1872"/>
      <c r="F8" s="1604">
        <v>75050</v>
      </c>
      <c r="G8" s="1872"/>
      <c r="H8" s="1604">
        <v>73732</v>
      </c>
      <c r="I8" s="1872"/>
      <c r="J8" s="1604">
        <v>67911</v>
      </c>
      <c r="K8" s="1872"/>
      <c r="L8" s="1604">
        <v>65125</v>
      </c>
      <c r="M8" s="1596"/>
      <c r="N8" s="1631">
        <f>AVERAGE(B8:F8)</f>
        <v>73686</v>
      </c>
      <c r="O8" s="1632"/>
      <c r="P8" s="1631">
        <f>AVERAGE(H8:L8)</f>
        <v>68922.666666666672</v>
      </c>
      <c r="Q8" s="1632"/>
      <c r="R8" s="3862">
        <f>P8-N8</f>
        <v>-4763.3333333333285</v>
      </c>
      <c r="T8" s="3248" t="s">
        <v>326</v>
      </c>
      <c r="V8" s="3248" t="s">
        <v>324</v>
      </c>
      <c r="X8" s="3248" t="s">
        <v>488</v>
      </c>
      <c r="Z8" s="3845">
        <f>R8/N8</f>
        <v>-6.4643668177582284E-2</v>
      </c>
      <c r="AA8" s="2749" t="s">
        <v>474</v>
      </c>
    </row>
    <row r="9" spans="1:27">
      <c r="A9" s="1588" t="s">
        <v>195</v>
      </c>
      <c r="B9" s="1603">
        <v>84548</v>
      </c>
      <c r="C9" s="1602"/>
      <c r="D9" s="1604">
        <v>73643</v>
      </c>
      <c r="E9" s="1872"/>
      <c r="F9" s="1604">
        <v>85162</v>
      </c>
      <c r="G9" s="1872"/>
      <c r="H9" s="1604">
        <v>81538</v>
      </c>
      <c r="I9" s="1872"/>
      <c r="J9" s="1604">
        <v>70959</v>
      </c>
      <c r="K9" s="1872"/>
      <c r="L9" s="1604">
        <v>72727</v>
      </c>
      <c r="M9" s="1598"/>
      <c r="N9" s="1631">
        <f t="shared" ref="N9:N15" si="0">AVERAGE(B9:F9)</f>
        <v>81117.666666666672</v>
      </c>
      <c r="O9" s="1632"/>
      <c r="P9" s="1631">
        <f t="shared" ref="P9:P15" si="1">AVERAGE(H9:L9)</f>
        <v>75074.666666666672</v>
      </c>
      <c r="Q9" s="1632"/>
      <c r="R9" s="3862">
        <f t="shared" ref="R9:R15" si="2">P9-N9</f>
        <v>-6043</v>
      </c>
      <c r="T9" s="3248" t="s">
        <v>326</v>
      </c>
      <c r="V9" s="3248" t="s">
        <v>324</v>
      </c>
      <c r="X9" s="3248" t="s">
        <v>488</v>
      </c>
      <c r="Z9" s="3845">
        <f t="shared" ref="Z9:Z15" si="3">R9/N9</f>
        <v>-7.449671875834693E-2</v>
      </c>
      <c r="AA9" s="2749" t="s">
        <v>474</v>
      </c>
    </row>
    <row r="10" spans="1:27">
      <c r="A10" s="1588" t="s">
        <v>196</v>
      </c>
      <c r="B10" s="1603">
        <v>72421</v>
      </c>
      <c r="C10" s="1602"/>
      <c r="D10" s="1604">
        <v>71352</v>
      </c>
      <c r="E10" s="1872"/>
      <c r="F10" s="1604">
        <v>66693</v>
      </c>
      <c r="G10" s="1872"/>
      <c r="H10" s="1604">
        <v>56296</v>
      </c>
      <c r="I10" s="1872"/>
      <c r="J10" s="1604">
        <v>61275</v>
      </c>
      <c r="K10" s="1872"/>
      <c r="L10" s="1604">
        <v>52881</v>
      </c>
      <c r="M10" s="77"/>
      <c r="N10" s="1631">
        <f t="shared" si="0"/>
        <v>70155.333333333328</v>
      </c>
      <c r="O10" s="1632"/>
      <c r="P10" s="1631">
        <f t="shared" si="1"/>
        <v>56817.333333333336</v>
      </c>
      <c r="Q10" s="1632"/>
      <c r="R10" s="3862">
        <f t="shared" si="2"/>
        <v>-13337.999999999993</v>
      </c>
      <c r="T10" s="3248" t="s">
        <v>326</v>
      </c>
      <c r="V10" s="3248" t="s">
        <v>326</v>
      </c>
      <c r="X10" s="3248" t="s">
        <v>489</v>
      </c>
      <c r="Z10" s="3845">
        <f t="shared" si="3"/>
        <v>-0.19012096965780687</v>
      </c>
      <c r="AA10" s="2749" t="s">
        <v>474</v>
      </c>
    </row>
    <row r="11" spans="1:27">
      <c r="A11" s="1588" t="s">
        <v>197</v>
      </c>
      <c r="B11" s="1603">
        <v>84388</v>
      </c>
      <c r="C11" s="1602"/>
      <c r="D11" s="1604">
        <v>76851</v>
      </c>
      <c r="E11" s="1872"/>
      <c r="F11" s="1604">
        <v>82285</v>
      </c>
      <c r="G11" s="1872"/>
      <c r="H11" s="1604">
        <v>89146</v>
      </c>
      <c r="I11" s="1872"/>
      <c r="J11" s="1604">
        <v>87416</v>
      </c>
      <c r="K11" s="1872"/>
      <c r="L11" s="1604">
        <v>80709</v>
      </c>
      <c r="M11" s="34"/>
      <c r="N11" s="1631">
        <f t="shared" si="0"/>
        <v>81174.666666666672</v>
      </c>
      <c r="O11" s="1632"/>
      <c r="P11" s="1631">
        <f t="shared" si="1"/>
        <v>85757</v>
      </c>
      <c r="Q11" s="1632"/>
      <c r="R11" s="3871">
        <f t="shared" si="2"/>
        <v>4582.3333333333285</v>
      </c>
      <c r="T11" s="3248" t="s">
        <v>326</v>
      </c>
      <c r="V11" s="3248" t="s">
        <v>305</v>
      </c>
      <c r="X11" s="3248" t="s">
        <v>490</v>
      </c>
      <c r="Z11" s="3854">
        <f t="shared" si="3"/>
        <v>5.6450288267275439E-2</v>
      </c>
      <c r="AA11" s="2749" t="s">
        <v>474</v>
      </c>
    </row>
    <row r="12" spans="1:27">
      <c r="A12" s="1588" t="s">
        <v>198</v>
      </c>
      <c r="B12" s="1603">
        <v>60292</v>
      </c>
      <c r="C12" s="1602"/>
      <c r="D12" s="1604">
        <v>82932</v>
      </c>
      <c r="E12" s="1872"/>
      <c r="F12" s="1604">
        <v>79910</v>
      </c>
      <c r="G12" s="1872"/>
      <c r="H12" s="1604">
        <v>67390</v>
      </c>
      <c r="I12" s="1872"/>
      <c r="J12" s="1604">
        <v>84017</v>
      </c>
      <c r="K12" s="1872"/>
      <c r="L12" s="1604">
        <v>84255</v>
      </c>
      <c r="M12" s="34"/>
      <c r="N12" s="1631">
        <f t="shared" si="0"/>
        <v>74378</v>
      </c>
      <c r="O12" s="1632"/>
      <c r="P12" s="1631">
        <f t="shared" si="1"/>
        <v>78554</v>
      </c>
      <c r="Q12" s="1632"/>
      <c r="R12" s="3871">
        <f t="shared" si="2"/>
        <v>4176</v>
      </c>
      <c r="T12" s="3248" t="s">
        <v>326</v>
      </c>
      <c r="V12" s="3248" t="s">
        <v>305</v>
      </c>
      <c r="X12" s="3248" t="s">
        <v>490</v>
      </c>
      <c r="Z12" s="3854">
        <f t="shared" si="3"/>
        <v>5.614563446180322E-2</v>
      </c>
      <c r="AA12" s="2749" t="s">
        <v>474</v>
      </c>
    </row>
    <row r="13" spans="1:27">
      <c r="A13" s="1588" t="s">
        <v>199</v>
      </c>
      <c r="B13" s="1603">
        <v>78776</v>
      </c>
      <c r="C13" s="1602"/>
      <c r="D13" s="1604">
        <v>76290</v>
      </c>
      <c r="E13" s="1872"/>
      <c r="F13" s="1604">
        <v>79663</v>
      </c>
      <c r="G13" s="1872"/>
      <c r="H13" s="1604">
        <v>81854</v>
      </c>
      <c r="I13" s="1872"/>
      <c r="J13" s="1604">
        <v>96995</v>
      </c>
      <c r="K13" s="1872"/>
      <c r="L13" s="1604">
        <v>92898</v>
      </c>
      <c r="M13" s="1596"/>
      <c r="N13" s="1631">
        <f t="shared" si="0"/>
        <v>78243</v>
      </c>
      <c r="O13" s="1632"/>
      <c r="P13" s="1631">
        <f t="shared" si="1"/>
        <v>90582.333333333328</v>
      </c>
      <c r="Q13" s="1632"/>
      <c r="R13" s="3871">
        <f t="shared" si="2"/>
        <v>12339.333333333328</v>
      </c>
      <c r="T13" s="3248" t="s">
        <v>326</v>
      </c>
      <c r="V13" s="3248" t="s">
        <v>305</v>
      </c>
      <c r="X13" s="3248" t="s">
        <v>490</v>
      </c>
      <c r="Z13" s="3854">
        <f t="shared" si="3"/>
        <v>0.15770526862892947</v>
      </c>
      <c r="AA13" s="2749" t="s">
        <v>474</v>
      </c>
    </row>
    <row r="14" spans="1:27">
      <c r="A14" s="3734" t="s">
        <v>485</v>
      </c>
      <c r="B14" s="1603">
        <v>92256</v>
      </c>
      <c r="C14" s="1602"/>
      <c r="D14" s="1604">
        <v>93516</v>
      </c>
      <c r="E14" s="1872"/>
      <c r="F14" s="1604">
        <v>92982</v>
      </c>
      <c r="G14" s="1872"/>
      <c r="H14" s="1604">
        <v>86305</v>
      </c>
      <c r="I14" s="1872"/>
      <c r="J14" s="1604">
        <v>87722</v>
      </c>
      <c r="K14" s="1872"/>
      <c r="L14" s="1604">
        <v>83045</v>
      </c>
      <c r="M14" s="1598"/>
      <c r="N14" s="1631">
        <f t="shared" si="0"/>
        <v>92918</v>
      </c>
      <c r="O14" s="1632"/>
      <c r="P14" s="1631">
        <f t="shared" si="1"/>
        <v>85690.666666666672</v>
      </c>
      <c r="Q14" s="1632"/>
      <c r="R14" s="3862">
        <f t="shared" si="2"/>
        <v>-7227.3333333333285</v>
      </c>
      <c r="T14" s="3248" t="s">
        <v>326</v>
      </c>
      <c r="V14" s="3248" t="s">
        <v>324</v>
      </c>
      <c r="X14" s="3248" t="s">
        <v>488</v>
      </c>
      <c r="Z14" s="3845">
        <f t="shared" si="3"/>
        <v>-7.7781843489241359E-2</v>
      </c>
      <c r="AA14" s="2749" t="s">
        <v>474</v>
      </c>
    </row>
    <row r="15" spans="1:27" s="1586" customFormat="1" ht="13.8" thickBot="1">
      <c r="A15" s="105" t="s">
        <v>200</v>
      </c>
      <c r="B15" s="1634">
        <v>78990</v>
      </c>
      <c r="C15" s="1635"/>
      <c r="D15" s="1636">
        <v>80134</v>
      </c>
      <c r="E15" s="1635"/>
      <c r="F15" s="1636">
        <v>81629</v>
      </c>
      <c r="G15" s="1635"/>
      <c r="H15" s="1636">
        <v>78049</v>
      </c>
      <c r="I15" s="1635"/>
      <c r="J15" s="1636">
        <v>77412</v>
      </c>
      <c r="K15" s="1635"/>
      <c r="L15" s="1636">
        <v>74009</v>
      </c>
      <c r="M15" s="1383"/>
      <c r="N15" s="1637">
        <f t="shared" si="0"/>
        <v>80251</v>
      </c>
      <c r="O15" s="1638"/>
      <c r="P15" s="1637">
        <f t="shared" si="1"/>
        <v>76490</v>
      </c>
      <c r="Q15" s="1638"/>
      <c r="R15" s="1639">
        <f t="shared" si="2"/>
        <v>-3761</v>
      </c>
      <c r="T15" s="3242"/>
      <c r="V15" s="3242"/>
      <c r="W15" s="3170"/>
      <c r="X15" s="3242"/>
      <c r="Y15" s="3170"/>
      <c r="Z15" s="3846">
        <f t="shared" si="3"/>
        <v>-4.6865459620440864E-2</v>
      </c>
      <c r="AA15" s="2749" t="s">
        <v>474</v>
      </c>
    </row>
    <row r="16" spans="1:27" s="67" customFormat="1">
      <c r="A16" s="40"/>
      <c r="B16" s="38"/>
      <c r="C16" s="38"/>
      <c r="D16" s="38"/>
      <c r="E16" s="38"/>
      <c r="F16" s="38"/>
      <c r="G16" s="38"/>
      <c r="H16" s="38"/>
      <c r="I16" s="38"/>
      <c r="J16" s="38"/>
      <c r="K16" s="38"/>
      <c r="L16" s="38"/>
      <c r="M16" s="38"/>
      <c r="N16" s="1629"/>
      <c r="O16" s="1630"/>
      <c r="P16" s="1629"/>
      <c r="Q16" s="1630"/>
      <c r="R16" s="1629"/>
      <c r="T16" s="3249"/>
      <c r="V16" s="3249"/>
      <c r="W16" s="3178"/>
      <c r="X16" s="3249"/>
      <c r="Y16" s="3178"/>
      <c r="Z16" s="3847"/>
    </row>
    <row r="17" spans="1:27" s="1581" customFormat="1">
      <c r="A17" s="1482" t="s">
        <v>193</v>
      </c>
      <c r="B17" s="38"/>
      <c r="C17" s="38"/>
      <c r="D17" s="38"/>
      <c r="E17" s="38"/>
      <c r="F17" s="38"/>
      <c r="G17" s="38"/>
      <c r="H17" s="38"/>
      <c r="I17" s="38"/>
      <c r="J17" s="38"/>
      <c r="K17" s="38"/>
      <c r="L17" s="38"/>
      <c r="M17" s="38"/>
      <c r="N17" s="1629"/>
      <c r="O17" s="1630"/>
      <c r="P17" s="1629"/>
      <c r="Q17" s="1630"/>
      <c r="R17" s="1629"/>
      <c r="T17" s="3249"/>
      <c r="V17" s="3249"/>
      <c r="W17" s="3178"/>
      <c r="X17" s="3249"/>
      <c r="Y17" s="3178"/>
      <c r="Z17" s="3848"/>
    </row>
    <row r="18" spans="1:27" s="1581" customFormat="1" ht="13.8" thickBot="1">
      <c r="A18" s="1580"/>
      <c r="B18" s="38"/>
      <c r="C18" s="38"/>
      <c r="D18" s="38"/>
      <c r="E18" s="38"/>
      <c r="F18" s="38"/>
      <c r="G18" s="38"/>
      <c r="H18" s="38"/>
      <c r="I18" s="38"/>
      <c r="J18" s="38"/>
      <c r="K18" s="38"/>
      <c r="L18" s="38"/>
      <c r="M18" s="38"/>
      <c r="N18" s="1629"/>
      <c r="O18" s="1630"/>
      <c r="P18" s="1629"/>
      <c r="Q18" s="1630"/>
      <c r="R18" s="1629"/>
      <c r="T18" s="3249"/>
      <c r="V18" s="3249"/>
      <c r="W18" s="3178"/>
      <c r="X18" s="3249"/>
      <c r="Y18" s="3178"/>
      <c r="Z18" s="3848"/>
    </row>
    <row r="19" spans="1:27" s="2180" customFormat="1" ht="27" thickBot="1">
      <c r="A19" s="442" t="s">
        <v>201</v>
      </c>
      <c r="B19" s="2216" t="s">
        <v>2</v>
      </c>
      <c r="C19" s="2217"/>
      <c r="D19" s="2218" t="s">
        <v>3</v>
      </c>
      <c r="E19" s="2767"/>
      <c r="F19" s="2219" t="s">
        <v>4</v>
      </c>
      <c r="G19" s="2767"/>
      <c r="H19" s="2220" t="s">
        <v>5</v>
      </c>
      <c r="I19" s="2767"/>
      <c r="J19" s="2220" t="s">
        <v>6</v>
      </c>
      <c r="K19" s="2767"/>
      <c r="L19" s="2220" t="s">
        <v>7</v>
      </c>
      <c r="M19" s="2217"/>
      <c r="N19" s="1489" t="s">
        <v>33</v>
      </c>
      <c r="O19" s="1488"/>
      <c r="P19" s="1489" t="s">
        <v>34</v>
      </c>
      <c r="Q19" s="1488"/>
      <c r="R19" s="1486" t="s">
        <v>35</v>
      </c>
      <c r="T19" s="3242"/>
      <c r="V19" s="3242"/>
      <c r="W19" s="3872"/>
      <c r="X19" s="3242"/>
      <c r="Y19" s="3842"/>
      <c r="Z19" s="3242"/>
    </row>
    <row r="20" spans="1:27" s="2170" customFormat="1">
      <c r="A20" s="2224"/>
      <c r="B20" s="65"/>
      <c r="C20" s="45"/>
      <c r="D20" s="66"/>
      <c r="E20" s="45"/>
      <c r="F20" s="66"/>
      <c r="G20" s="45"/>
      <c r="H20" s="66"/>
      <c r="I20" s="45"/>
      <c r="J20" s="66"/>
      <c r="K20" s="45"/>
      <c r="L20" s="66"/>
      <c r="M20" s="45"/>
      <c r="N20" s="1485"/>
      <c r="O20" s="1487"/>
      <c r="P20" s="1485"/>
      <c r="Q20" s="1487"/>
      <c r="R20" s="1484"/>
      <c r="T20" s="3242"/>
      <c r="V20" s="3242"/>
      <c r="W20" s="3170"/>
      <c r="X20" s="3242"/>
      <c r="Y20" s="3170"/>
      <c r="Z20" s="103"/>
    </row>
    <row r="21" spans="1:27" s="2170" customFormat="1">
      <c r="A21" s="2193" t="s">
        <v>209</v>
      </c>
      <c r="B21" s="2257">
        <v>31842.18</v>
      </c>
      <c r="C21" s="2252"/>
      <c r="D21" s="2258">
        <v>34167.64</v>
      </c>
      <c r="E21" s="2617"/>
      <c r="F21" s="2258">
        <v>33131.68</v>
      </c>
      <c r="G21" s="2617"/>
      <c r="H21" s="2258">
        <v>30853.84</v>
      </c>
      <c r="I21" s="2617"/>
      <c r="J21" s="2258">
        <v>31129.54</v>
      </c>
      <c r="K21" s="2617"/>
      <c r="L21" s="2258">
        <v>29336.95</v>
      </c>
      <c r="M21" s="1861"/>
      <c r="N21" s="1631">
        <f>AVERAGE(B21:F21)</f>
        <v>33047.166666666664</v>
      </c>
      <c r="O21" s="1632"/>
      <c r="P21" s="1631">
        <f>AVERAGE(H21:L21)</f>
        <v>30440.11</v>
      </c>
      <c r="Q21" s="1632"/>
      <c r="R21" s="1633">
        <f>P21-N21</f>
        <v>-2607.0566666666637</v>
      </c>
      <c r="T21" s="3242"/>
      <c r="V21" s="3242"/>
      <c r="W21" s="3170"/>
      <c r="X21" s="3242"/>
      <c r="Y21" s="3170"/>
      <c r="Z21" s="103"/>
    </row>
    <row r="22" spans="1:27" s="2170" customFormat="1">
      <c r="A22" s="2193"/>
      <c r="B22" s="2253"/>
      <c r="C22" s="2254"/>
      <c r="D22" s="2255"/>
      <c r="E22" s="2620"/>
      <c r="F22" s="2255"/>
      <c r="G22" s="2620"/>
      <c r="H22" s="2255"/>
      <c r="I22" s="2620"/>
      <c r="J22" s="2255"/>
      <c r="K22" s="2620"/>
      <c r="L22" s="2255"/>
      <c r="M22" s="1864"/>
      <c r="N22" s="1631"/>
      <c r="O22" s="1632"/>
      <c r="P22" s="1631"/>
      <c r="Q22" s="1632"/>
      <c r="R22" s="1633"/>
      <c r="T22" s="3242"/>
      <c r="V22" s="3242"/>
      <c r="W22" s="3170"/>
      <c r="X22" s="3242"/>
      <c r="Y22" s="3170"/>
      <c r="Z22" s="103"/>
    </row>
    <row r="23" spans="1:27" s="2170" customFormat="1">
      <c r="A23" s="2193" t="s">
        <v>210</v>
      </c>
      <c r="B23" s="2257">
        <v>47066.89</v>
      </c>
      <c r="C23" s="2256"/>
      <c r="D23" s="2258">
        <v>45251.6</v>
      </c>
      <c r="E23" s="2787"/>
      <c r="F23" s="2258">
        <v>42422.48</v>
      </c>
      <c r="G23" s="2787"/>
      <c r="H23" s="2258">
        <v>41397.5</v>
      </c>
      <c r="I23" s="2787"/>
      <c r="J23" s="2258">
        <v>36878.120000000003</v>
      </c>
      <c r="K23" s="2787"/>
      <c r="L23" s="2258">
        <v>33568.14</v>
      </c>
      <c r="M23" s="77"/>
      <c r="N23" s="1631">
        <f t="shared" ref="N23:N25" si="4">AVERAGE(B23:F23)</f>
        <v>44913.656666666669</v>
      </c>
      <c r="O23" s="1632"/>
      <c r="P23" s="1631">
        <f t="shared" ref="P23:P25" si="5">AVERAGE(H23:L23)</f>
        <v>37281.253333333334</v>
      </c>
      <c r="Q23" s="1632"/>
      <c r="R23" s="1633">
        <f t="shared" ref="R23:R25" si="6">P23-N23</f>
        <v>-7632.4033333333355</v>
      </c>
      <c r="T23" s="3242"/>
      <c r="V23" s="3242"/>
      <c r="W23" s="3170"/>
      <c r="X23" s="3242"/>
      <c r="Y23" s="3170"/>
      <c r="Z23" s="103"/>
    </row>
    <row r="24" spans="1:27" s="2170" customFormat="1">
      <c r="A24" s="2193"/>
      <c r="B24" s="1873"/>
      <c r="C24" s="1872"/>
      <c r="D24" s="1874"/>
      <c r="E24" s="1872"/>
      <c r="F24" s="1874"/>
      <c r="G24" s="1872"/>
      <c r="H24" s="1874"/>
      <c r="I24" s="1872"/>
      <c r="J24" s="1874"/>
      <c r="K24" s="1872"/>
      <c r="L24" s="1874"/>
      <c r="M24" s="34"/>
      <c r="N24" s="1631"/>
      <c r="O24" s="1632"/>
      <c r="P24" s="1631"/>
      <c r="Q24" s="1632"/>
      <c r="R24" s="1633"/>
      <c r="T24" s="3242"/>
      <c r="V24" s="3242"/>
      <c r="W24" s="3170"/>
      <c r="X24" s="3242"/>
      <c r="Y24" s="3170"/>
      <c r="Z24" s="103"/>
    </row>
    <row r="25" spans="1:27" s="2243" customFormat="1" ht="13.8" thickBot="1">
      <c r="A25" s="105" t="s">
        <v>211</v>
      </c>
      <c r="B25" s="1634">
        <f>B21+B23</f>
        <v>78909.070000000007</v>
      </c>
      <c r="C25" s="1635"/>
      <c r="D25" s="1636">
        <f>D21+D23</f>
        <v>79419.239999999991</v>
      </c>
      <c r="E25" s="1635"/>
      <c r="F25" s="1636">
        <f>F21+F23</f>
        <v>75554.16</v>
      </c>
      <c r="G25" s="1635"/>
      <c r="H25" s="1636">
        <f>H21+H23</f>
        <v>72251.34</v>
      </c>
      <c r="I25" s="1635"/>
      <c r="J25" s="1636">
        <f>J21+J23</f>
        <v>68007.66</v>
      </c>
      <c r="K25" s="1635"/>
      <c r="L25" s="1636">
        <f>L21+L23</f>
        <v>62905.09</v>
      </c>
      <c r="M25" s="27"/>
      <c r="N25" s="1637">
        <f t="shared" si="4"/>
        <v>77960.823333333334</v>
      </c>
      <c r="O25" s="1638"/>
      <c r="P25" s="1637">
        <f t="shared" si="5"/>
        <v>67721.363333333327</v>
      </c>
      <c r="Q25" s="1638"/>
      <c r="R25" s="3863">
        <f t="shared" si="6"/>
        <v>-10239.460000000006</v>
      </c>
      <c r="T25" s="3248" t="s">
        <v>326</v>
      </c>
      <c r="V25" s="3248" t="s">
        <v>326</v>
      </c>
      <c r="W25" s="3170"/>
      <c r="X25" s="3248" t="s">
        <v>489</v>
      </c>
      <c r="Y25" s="3170"/>
      <c r="Z25" s="3846">
        <f t="shared" ref="Z25" si="7">R25/N25</f>
        <v>-0.131341096235216</v>
      </c>
      <c r="AA25" s="2749" t="s">
        <v>474</v>
      </c>
    </row>
    <row r="26" spans="1:27" s="2226" customFormat="1">
      <c r="A26" s="2225"/>
      <c r="B26" s="38"/>
      <c r="C26" s="38"/>
      <c r="D26" s="38"/>
      <c r="E26" s="38"/>
      <c r="F26" s="38"/>
      <c r="G26" s="38"/>
      <c r="H26" s="38"/>
      <c r="I26" s="38"/>
      <c r="J26" s="38"/>
      <c r="K26" s="38"/>
      <c r="L26" s="38"/>
      <c r="M26" s="38"/>
      <c r="N26" s="1629"/>
      <c r="O26" s="1630"/>
      <c r="P26" s="1629"/>
      <c r="Q26" s="1630"/>
      <c r="R26" s="1629"/>
      <c r="T26" s="3249"/>
      <c r="V26" s="3249"/>
      <c r="W26" s="3178"/>
      <c r="X26" s="3249"/>
      <c r="Y26" s="3178"/>
      <c r="Z26" s="3848"/>
    </row>
    <row r="27" spans="1:27" s="2226" customFormat="1">
      <c r="A27" s="1482" t="s">
        <v>212</v>
      </c>
      <c r="B27" s="38"/>
      <c r="C27" s="38"/>
      <c r="D27" s="38"/>
      <c r="E27" s="38"/>
      <c r="F27" s="38"/>
      <c r="G27" s="38"/>
      <c r="H27" s="38"/>
      <c r="I27" s="38"/>
      <c r="J27" s="38"/>
      <c r="K27" s="38"/>
      <c r="L27" s="38"/>
      <c r="M27" s="38"/>
      <c r="N27" s="1629"/>
      <c r="O27" s="1630"/>
      <c r="P27" s="1629"/>
      <c r="Q27" s="1630"/>
      <c r="R27" s="1629"/>
      <c r="T27" s="3249"/>
      <c r="V27" s="3249"/>
      <c r="W27" s="3178"/>
      <c r="X27" s="3249"/>
      <c r="Y27" s="3178"/>
      <c r="Z27" s="3848"/>
    </row>
    <row r="28" spans="1:27" ht="13.8" thickBot="1">
      <c r="B28" s="4"/>
      <c r="C28" s="4"/>
      <c r="D28" s="4"/>
      <c r="E28" s="2779"/>
      <c r="F28" s="3"/>
      <c r="G28" s="2779"/>
      <c r="H28" s="4"/>
      <c r="I28" s="2779"/>
      <c r="J28" s="4"/>
      <c r="K28" s="2779"/>
      <c r="L28" s="4"/>
      <c r="T28" s="3242"/>
      <c r="V28" s="3242"/>
      <c r="X28" s="3242"/>
      <c r="Z28" s="103"/>
    </row>
    <row r="29" spans="1:27" s="2249" customFormat="1" ht="27" thickBot="1">
      <c r="A29" s="442" t="s">
        <v>204</v>
      </c>
      <c r="B29" s="2244" t="s">
        <v>2</v>
      </c>
      <c r="C29" s="2245"/>
      <c r="D29" s="2246" t="s">
        <v>3</v>
      </c>
      <c r="E29" s="2767"/>
      <c r="F29" s="2247" t="s">
        <v>4</v>
      </c>
      <c r="G29" s="2767"/>
      <c r="H29" s="2248" t="s">
        <v>5</v>
      </c>
      <c r="I29" s="2767"/>
      <c r="J29" s="2248" t="s">
        <v>6</v>
      </c>
      <c r="K29" s="2767"/>
      <c r="L29" s="2248" t="s">
        <v>7</v>
      </c>
      <c r="M29" s="2245"/>
      <c r="N29" s="1489" t="s">
        <v>33</v>
      </c>
      <c r="O29" s="1488"/>
      <c r="P29" s="1489" t="s">
        <v>34</v>
      </c>
      <c r="Q29" s="1488"/>
      <c r="R29" s="1486" t="s">
        <v>35</v>
      </c>
      <c r="T29" s="3242"/>
      <c r="V29" s="3242"/>
      <c r="W29" s="3872"/>
      <c r="X29" s="3242"/>
      <c r="Y29" s="3842"/>
      <c r="Z29" s="3242"/>
    </row>
    <row r="30" spans="1:27" s="2243" customFormat="1">
      <c r="A30" s="2250"/>
      <c r="B30" s="65"/>
      <c r="C30" s="45"/>
      <c r="D30" s="66"/>
      <c r="E30" s="45"/>
      <c r="F30" s="66"/>
      <c r="G30" s="45"/>
      <c r="H30" s="66"/>
      <c r="I30" s="45"/>
      <c r="J30" s="66"/>
      <c r="K30" s="45"/>
      <c r="L30" s="66"/>
      <c r="M30" s="45"/>
      <c r="N30" s="1485"/>
      <c r="O30" s="1487"/>
      <c r="P30" s="1485"/>
      <c r="Q30" s="1487"/>
      <c r="R30" s="1484"/>
      <c r="T30" s="3242"/>
      <c r="V30" s="3242"/>
      <c r="W30" s="3170"/>
      <c r="X30" s="3242"/>
      <c r="Y30" s="3170"/>
      <c r="Z30" s="103"/>
    </row>
    <row r="31" spans="1:27" s="2243" customFormat="1">
      <c r="A31" s="2251" t="s">
        <v>213</v>
      </c>
      <c r="B31" s="2274">
        <v>4523</v>
      </c>
      <c r="C31" s="2270"/>
      <c r="D31" s="2275">
        <v>4697</v>
      </c>
      <c r="E31" s="2617"/>
      <c r="F31" s="2275">
        <v>4889</v>
      </c>
      <c r="G31" s="2617"/>
      <c r="H31" s="2275">
        <v>5292</v>
      </c>
      <c r="I31" s="2617"/>
      <c r="J31" s="2275">
        <v>5157</v>
      </c>
      <c r="K31" s="2617"/>
      <c r="L31" s="2275">
        <v>4875</v>
      </c>
      <c r="M31" s="2252"/>
      <c r="N31" s="2276">
        <f>AVERAGE(B31:F31)</f>
        <v>4703</v>
      </c>
      <c r="O31" s="1943"/>
      <c r="P31" s="2276">
        <f>AVERAGE(H31:L31)</f>
        <v>5108</v>
      </c>
      <c r="Q31" s="1943"/>
      <c r="R31" s="2277">
        <f>P31-N31</f>
        <v>405</v>
      </c>
      <c r="T31" s="3242"/>
      <c r="V31" s="3242"/>
      <c r="W31" s="3170"/>
      <c r="X31" s="3242"/>
      <c r="Y31" s="3170"/>
      <c r="Z31" s="3849">
        <f t="shared" ref="Z31" si="8">R31/N31</f>
        <v>8.6115245587922606E-2</v>
      </c>
      <c r="AA31" s="2749" t="s">
        <v>474</v>
      </c>
    </row>
    <row r="32" spans="1:27" s="2243" customFormat="1">
      <c r="A32" s="2251"/>
      <c r="B32" s="2274"/>
      <c r="C32" s="2270"/>
      <c r="D32" s="2275"/>
      <c r="E32" s="2617"/>
      <c r="F32" s="2275"/>
      <c r="G32" s="2617"/>
      <c r="H32" s="2275"/>
      <c r="I32" s="2617"/>
      <c r="J32" s="2275"/>
      <c r="K32" s="2617"/>
      <c r="L32" s="2275"/>
      <c r="M32" s="2254"/>
      <c r="N32" s="2276"/>
      <c r="O32" s="1943"/>
      <c r="P32" s="2276"/>
      <c r="Q32" s="1943"/>
      <c r="R32" s="2277"/>
      <c r="T32" s="3242"/>
      <c r="V32" s="3242"/>
      <c r="W32" s="3170"/>
      <c r="X32" s="3242"/>
      <c r="Y32" s="3170"/>
      <c r="Z32" s="3849"/>
      <c r="AA32" s="2749"/>
    </row>
    <row r="33" spans="1:27" s="2243" customFormat="1">
      <c r="A33" s="2251" t="s">
        <v>214</v>
      </c>
      <c r="B33" s="2274">
        <v>643</v>
      </c>
      <c r="C33" s="2270"/>
      <c r="D33" s="2275">
        <v>708</v>
      </c>
      <c r="E33" s="2617"/>
      <c r="F33" s="2275">
        <v>748</v>
      </c>
      <c r="G33" s="2617"/>
      <c r="H33" s="2275">
        <v>736</v>
      </c>
      <c r="I33" s="2617"/>
      <c r="J33" s="2275">
        <v>747</v>
      </c>
      <c r="K33" s="2617"/>
      <c r="L33" s="2275">
        <v>828</v>
      </c>
      <c r="M33" s="77"/>
      <c r="N33" s="2276">
        <f t="shared" ref="N33" si="9">AVERAGE(B33:F33)</f>
        <v>699.66666666666663</v>
      </c>
      <c r="O33" s="1943"/>
      <c r="P33" s="2276">
        <f t="shared" ref="P33" si="10">AVERAGE(H33:L33)</f>
        <v>770.33333333333337</v>
      </c>
      <c r="Q33" s="1943"/>
      <c r="R33" s="2277">
        <f t="shared" ref="R33" si="11">P33-N33</f>
        <v>70.666666666666742</v>
      </c>
      <c r="T33" s="3242"/>
      <c r="V33" s="3242"/>
      <c r="W33" s="3170"/>
      <c r="X33" s="3242"/>
      <c r="Y33" s="3170"/>
      <c r="Z33" s="3849">
        <f>R33/N33</f>
        <v>0.10100047641734171</v>
      </c>
      <c r="AA33" s="2749" t="s">
        <v>474</v>
      </c>
    </row>
    <row r="34" spans="1:27" s="2243" customFormat="1">
      <c r="A34" s="2251"/>
      <c r="B34" s="1873"/>
      <c r="C34" s="1872"/>
      <c r="D34" s="1874"/>
      <c r="E34" s="1872"/>
      <c r="F34" s="1874"/>
      <c r="G34" s="1872"/>
      <c r="H34" s="1874"/>
      <c r="I34" s="1872"/>
      <c r="J34" s="1874"/>
      <c r="K34" s="1872"/>
      <c r="L34" s="1874"/>
      <c r="M34" s="34"/>
      <c r="N34" s="1631"/>
      <c r="O34" s="1632"/>
      <c r="P34" s="1631"/>
      <c r="Q34" s="1632"/>
      <c r="R34" s="1633"/>
      <c r="T34" s="3242"/>
      <c r="V34" s="3242"/>
      <c r="W34" s="3170"/>
      <c r="X34" s="3242"/>
      <c r="Y34" s="3170"/>
      <c r="Z34" s="103"/>
    </row>
    <row r="35" spans="1:27" s="2243" customFormat="1" ht="13.8" thickBot="1">
      <c r="A35" s="105" t="s">
        <v>215</v>
      </c>
      <c r="B35" s="1390">
        <f>B33*4/B31</f>
        <v>0.56864912668582801</v>
      </c>
      <c r="C35" s="1383"/>
      <c r="D35" s="1379">
        <f>D33*4/D31</f>
        <v>0.60293804556099639</v>
      </c>
      <c r="E35" s="1383"/>
      <c r="F35" s="1379">
        <f>F33*4/F31</f>
        <v>0.61198609122519942</v>
      </c>
      <c r="G35" s="1383"/>
      <c r="H35" s="1379">
        <f>H33*4/H31</f>
        <v>0.5563114134542706</v>
      </c>
      <c r="I35" s="1383"/>
      <c r="J35" s="1379">
        <f>J33*4/J31</f>
        <v>0.57940663176265272</v>
      </c>
      <c r="K35" s="1383"/>
      <c r="L35" s="1379">
        <f>L33*4/L31</f>
        <v>0.67938461538461536</v>
      </c>
      <c r="M35" s="1383"/>
      <c r="N35" s="1472">
        <f t="shared" ref="N35" si="12">AVERAGE(B35:F35)</f>
        <v>0.59452442115734128</v>
      </c>
      <c r="O35" s="1473"/>
      <c r="P35" s="1472">
        <f t="shared" ref="P35" si="13">AVERAGE(H35:L35)</f>
        <v>0.6050342202005129</v>
      </c>
      <c r="Q35" s="1473"/>
      <c r="R35" s="3864">
        <f t="shared" ref="R35" si="14">P35-N35</f>
        <v>1.0509799043171619E-2</v>
      </c>
      <c r="T35" s="3248" t="s">
        <v>324</v>
      </c>
      <c r="V35" s="3248" t="s">
        <v>324</v>
      </c>
      <c r="W35" s="3170"/>
      <c r="X35" s="3248" t="s">
        <v>491</v>
      </c>
      <c r="Y35" s="3170"/>
      <c r="Z35" s="3850"/>
    </row>
    <row r="36" spans="1:27" s="2260" customFormat="1">
      <c r="A36" s="2259"/>
      <c r="B36" s="38"/>
      <c r="C36" s="38"/>
      <c r="D36" s="38"/>
      <c r="E36" s="38"/>
      <c r="F36" s="38"/>
      <c r="G36" s="38"/>
      <c r="H36" s="38"/>
      <c r="I36" s="38"/>
      <c r="J36" s="38"/>
      <c r="K36" s="38"/>
      <c r="L36" s="38"/>
      <c r="M36" s="38"/>
      <c r="N36" s="1629"/>
      <c r="O36" s="1630"/>
      <c r="P36" s="1629"/>
      <c r="Q36" s="1630"/>
      <c r="R36" s="1629"/>
      <c r="T36" s="3249"/>
      <c r="V36" s="3249"/>
      <c r="W36" s="3178"/>
      <c r="X36" s="3249"/>
      <c r="Y36" s="3178"/>
      <c r="Z36" s="3848"/>
    </row>
    <row r="37" spans="1:27" s="2260" customFormat="1">
      <c r="A37" s="1482" t="s">
        <v>216</v>
      </c>
      <c r="B37" s="38"/>
      <c r="C37" s="38"/>
      <c r="D37" s="38"/>
      <c r="E37" s="38"/>
      <c r="F37" s="38"/>
      <c r="G37" s="38"/>
      <c r="H37" s="38"/>
      <c r="I37" s="38"/>
      <c r="J37" s="38"/>
      <c r="K37" s="38"/>
      <c r="L37" s="38"/>
      <c r="M37" s="38"/>
      <c r="N37" s="1629"/>
      <c r="O37" s="1630"/>
      <c r="P37" s="1629"/>
      <c r="Q37" s="1630"/>
      <c r="R37" s="1629"/>
      <c r="T37" s="3249"/>
      <c r="V37" s="3249"/>
      <c r="W37" s="3178"/>
      <c r="X37" s="3249"/>
      <c r="Y37" s="3178"/>
      <c r="Z37" s="3848"/>
    </row>
    <row r="38" spans="1:27" ht="13.8" thickBot="1">
      <c r="B38" s="4"/>
      <c r="C38" s="4"/>
      <c r="D38" s="4"/>
      <c r="E38" s="2779"/>
      <c r="F38" s="3"/>
      <c r="G38" s="2779"/>
      <c r="H38" s="4"/>
      <c r="I38" s="2779"/>
      <c r="J38" s="4"/>
      <c r="K38" s="2779"/>
      <c r="L38" s="4"/>
      <c r="T38" s="3242"/>
      <c r="V38" s="3242"/>
      <c r="X38" s="3242"/>
      <c r="Z38" s="103"/>
    </row>
    <row r="39" spans="1:27" s="2267" customFormat="1" ht="27" thickBot="1">
      <c r="A39" s="442" t="s">
        <v>205</v>
      </c>
      <c r="B39" s="2262" t="s">
        <v>2</v>
      </c>
      <c r="C39" s="2263"/>
      <c r="D39" s="2264" t="s">
        <v>3</v>
      </c>
      <c r="E39" s="2767"/>
      <c r="F39" s="2265" t="s">
        <v>4</v>
      </c>
      <c r="G39" s="2767"/>
      <c r="H39" s="2266" t="s">
        <v>5</v>
      </c>
      <c r="I39" s="2767"/>
      <c r="J39" s="2266" t="s">
        <v>6</v>
      </c>
      <c r="K39" s="2767"/>
      <c r="L39" s="2266" t="s">
        <v>7</v>
      </c>
      <c r="M39" s="2263"/>
      <c r="N39" s="1489" t="s">
        <v>33</v>
      </c>
      <c r="O39" s="1488"/>
      <c r="P39" s="1489" t="s">
        <v>34</v>
      </c>
      <c r="Q39" s="1488"/>
      <c r="R39" s="1486" t="s">
        <v>35</v>
      </c>
      <c r="T39" s="3242"/>
      <c r="V39" s="3242"/>
      <c r="W39" s="3872"/>
      <c r="X39" s="3242"/>
      <c r="Y39" s="3842"/>
      <c r="Z39" s="3242"/>
    </row>
    <row r="40" spans="1:27" s="2261" customFormat="1">
      <c r="A40" s="2268"/>
      <c r="B40" s="65"/>
      <c r="C40" s="45"/>
      <c r="D40" s="66"/>
      <c r="E40" s="45"/>
      <c r="F40" s="66"/>
      <c r="G40" s="45"/>
      <c r="H40" s="66"/>
      <c r="I40" s="45"/>
      <c r="J40" s="66"/>
      <c r="K40" s="45"/>
      <c r="L40" s="66"/>
      <c r="M40" s="45"/>
      <c r="N40" s="1485"/>
      <c r="O40" s="1487"/>
      <c r="P40" s="1485"/>
      <c r="Q40" s="1487"/>
      <c r="R40" s="1484"/>
      <c r="T40" s="3242"/>
      <c r="V40" s="3242"/>
      <c r="W40" s="3170"/>
      <c r="X40" s="3242"/>
      <c r="Y40" s="3170"/>
      <c r="Z40" s="103"/>
    </row>
    <row r="41" spans="1:27" s="2261" customFormat="1">
      <c r="A41" s="2269" t="s">
        <v>213</v>
      </c>
      <c r="B41" s="2291">
        <v>6015</v>
      </c>
      <c r="C41" s="2287"/>
      <c r="D41" s="2292">
        <v>6130</v>
      </c>
      <c r="E41" s="2617"/>
      <c r="F41" s="2292">
        <v>6308</v>
      </c>
      <c r="G41" s="2617"/>
      <c r="H41" s="2292">
        <v>6733</v>
      </c>
      <c r="I41" s="2617"/>
      <c r="J41" s="2292">
        <v>7342</v>
      </c>
      <c r="K41" s="2617"/>
      <c r="L41" s="2292">
        <v>7664</v>
      </c>
      <c r="M41" s="2270"/>
      <c r="N41" s="2276">
        <f>AVERAGE(B41:F41)</f>
        <v>6151</v>
      </c>
      <c r="O41" s="1943"/>
      <c r="P41" s="2276">
        <f>AVERAGE(H41:L41)</f>
        <v>7246.333333333333</v>
      </c>
      <c r="Q41" s="1943"/>
      <c r="R41" s="2277">
        <f>P41-N41</f>
        <v>1095.333333333333</v>
      </c>
      <c r="T41" s="3242"/>
      <c r="V41" s="3242"/>
      <c r="W41" s="3170"/>
      <c r="X41" s="3242"/>
      <c r="Y41" s="3170"/>
      <c r="Z41" s="3855">
        <f t="shared" ref="Z41" si="15">R41/N41</f>
        <v>0.17807402590364704</v>
      </c>
      <c r="AA41" s="2749" t="s">
        <v>474</v>
      </c>
    </row>
    <row r="42" spans="1:27" s="2261" customFormat="1">
      <c r="A42" s="2269"/>
      <c r="B42" s="2291"/>
      <c r="C42" s="2287"/>
      <c r="D42" s="2292"/>
      <c r="E42" s="2617"/>
      <c r="F42" s="2292"/>
      <c r="G42" s="2617"/>
      <c r="H42" s="2292"/>
      <c r="I42" s="2617"/>
      <c r="J42" s="2292"/>
      <c r="K42" s="2617"/>
      <c r="L42" s="2292"/>
      <c r="M42" s="2271"/>
      <c r="N42" s="2276"/>
      <c r="O42" s="1943"/>
      <c r="P42" s="2276"/>
      <c r="Q42" s="1943"/>
      <c r="R42" s="2277"/>
      <c r="T42" s="3242"/>
      <c r="V42" s="3242"/>
      <c r="W42" s="3170"/>
      <c r="X42" s="3242"/>
      <c r="Y42" s="3170"/>
      <c r="Z42" s="3856"/>
      <c r="AA42" s="2749"/>
    </row>
    <row r="43" spans="1:27" s="2261" customFormat="1">
      <c r="A43" s="2269" t="s">
        <v>214</v>
      </c>
      <c r="B43" s="2291">
        <v>967</v>
      </c>
      <c r="C43" s="2287"/>
      <c r="D43" s="2292">
        <v>949</v>
      </c>
      <c r="E43" s="2617"/>
      <c r="F43" s="2292">
        <v>934</v>
      </c>
      <c r="G43" s="2617"/>
      <c r="H43" s="2292">
        <v>964</v>
      </c>
      <c r="I43" s="2617"/>
      <c r="J43" s="2292">
        <v>1082</v>
      </c>
      <c r="K43" s="2617"/>
      <c r="L43" s="2292">
        <v>1064</v>
      </c>
      <c r="M43" s="77"/>
      <c r="N43" s="2276">
        <f t="shared" ref="N43" si="16">AVERAGE(B43:F43)</f>
        <v>950</v>
      </c>
      <c r="O43" s="1943"/>
      <c r="P43" s="2276">
        <f t="shared" ref="P43" si="17">AVERAGE(H43:L43)</f>
        <v>1036.6666666666667</v>
      </c>
      <c r="Q43" s="1943"/>
      <c r="R43" s="2277">
        <f t="shared" ref="R43" si="18">P43-N43</f>
        <v>86.666666666666742</v>
      </c>
      <c r="T43" s="3242"/>
      <c r="V43" s="3242"/>
      <c r="W43" s="3170"/>
      <c r="X43" s="3242"/>
      <c r="Y43" s="3170"/>
      <c r="Z43" s="3855">
        <f>R43/N43</f>
        <v>9.1228070175438672E-2</v>
      </c>
      <c r="AA43" s="2749" t="s">
        <v>474</v>
      </c>
    </row>
    <row r="44" spans="1:27" s="2261" customFormat="1">
      <c r="A44" s="2269"/>
      <c r="B44" s="1873"/>
      <c r="C44" s="1872"/>
      <c r="D44" s="1874"/>
      <c r="E44" s="1872"/>
      <c r="F44" s="1874"/>
      <c r="G44" s="1872"/>
      <c r="H44" s="1874"/>
      <c r="I44" s="1872"/>
      <c r="J44" s="1874"/>
      <c r="K44" s="1872"/>
      <c r="L44" s="1874"/>
      <c r="M44" s="34"/>
      <c r="N44" s="1631"/>
      <c r="O44" s="1632"/>
      <c r="P44" s="1631"/>
      <c r="Q44" s="1632"/>
      <c r="R44" s="1633"/>
      <c r="T44" s="3242"/>
      <c r="V44" s="3242"/>
      <c r="W44" s="3170"/>
      <c r="X44" s="3242"/>
      <c r="Y44" s="3170"/>
      <c r="Z44" s="103"/>
    </row>
    <row r="45" spans="1:27" s="2261" customFormat="1" ht="13.8" thickBot="1">
      <c r="A45" s="105" t="s">
        <v>215</v>
      </c>
      <c r="B45" s="1390">
        <f>B43*4/B41</f>
        <v>0.64305901911886953</v>
      </c>
      <c r="C45" s="1383"/>
      <c r="D45" s="1379">
        <f>D43*4/D41</f>
        <v>0.61924959216965747</v>
      </c>
      <c r="E45" s="1383"/>
      <c r="F45" s="1379">
        <f>F43*4/F41</f>
        <v>0.5922637920101459</v>
      </c>
      <c r="G45" s="1383"/>
      <c r="H45" s="1379">
        <f>H43*4/H41</f>
        <v>0.57270161889202431</v>
      </c>
      <c r="I45" s="1383"/>
      <c r="J45" s="1379">
        <f>J43*4/J41</f>
        <v>0.58948515390901657</v>
      </c>
      <c r="K45" s="1383"/>
      <c r="L45" s="1379">
        <f>L43*4/L41</f>
        <v>0.55532359081419624</v>
      </c>
      <c r="M45" s="1383"/>
      <c r="N45" s="1472">
        <f t="shared" ref="N45" si="19">AVERAGE(B45:F45)</f>
        <v>0.6181908010995576</v>
      </c>
      <c r="O45" s="1473"/>
      <c r="P45" s="1472">
        <f t="shared" ref="P45" si="20">AVERAGE(H45:L45)</f>
        <v>0.57250345453841234</v>
      </c>
      <c r="Q45" s="1473"/>
      <c r="R45" s="3870">
        <f t="shared" ref="R45" si="21">P45-N45</f>
        <v>-4.5687346561145259E-2</v>
      </c>
      <c r="T45" s="3248" t="s">
        <v>324</v>
      </c>
      <c r="V45" s="3248" t="s">
        <v>305</v>
      </c>
      <c r="W45" s="3170"/>
      <c r="X45" s="3248" t="s">
        <v>492</v>
      </c>
      <c r="Y45" s="3170"/>
      <c r="Z45" s="103"/>
    </row>
    <row r="46" spans="1:27" s="2273" customFormat="1">
      <c r="A46" s="2272"/>
      <c r="B46" s="38"/>
      <c r="C46" s="38"/>
      <c r="D46" s="38"/>
      <c r="E46" s="38"/>
      <c r="F46" s="38"/>
      <c r="G46" s="38"/>
      <c r="H46" s="38"/>
      <c r="I46" s="38"/>
      <c r="J46" s="38"/>
      <c r="K46" s="38"/>
      <c r="L46" s="38"/>
      <c r="M46" s="38"/>
      <c r="N46" s="1629"/>
      <c r="O46" s="1630"/>
      <c r="P46" s="1629"/>
      <c r="Q46" s="1630"/>
      <c r="R46" s="1629"/>
      <c r="T46" s="3249"/>
      <c r="V46" s="3249"/>
      <c r="W46" s="3178"/>
      <c r="X46" s="3249"/>
      <c r="Y46" s="3178"/>
      <c r="Z46" s="3848"/>
    </row>
    <row r="47" spans="1:27" s="2273" customFormat="1">
      <c r="A47" s="1482" t="s">
        <v>216</v>
      </c>
      <c r="B47" s="38"/>
      <c r="C47" s="38"/>
      <c r="D47" s="38"/>
      <c r="E47" s="38"/>
      <c r="F47" s="38"/>
      <c r="G47" s="38"/>
      <c r="H47" s="38"/>
      <c r="I47" s="38"/>
      <c r="J47" s="38"/>
      <c r="K47" s="38"/>
      <c r="L47" s="38"/>
      <c r="M47" s="38"/>
      <c r="N47" s="1629"/>
      <c r="O47" s="1630"/>
      <c r="P47" s="1629"/>
      <c r="Q47" s="1630"/>
      <c r="R47" s="1629"/>
      <c r="T47" s="3249"/>
      <c r="V47" s="3249"/>
      <c r="W47" s="3178"/>
      <c r="X47" s="3249"/>
      <c r="Y47" s="3178"/>
      <c r="Z47" s="3848"/>
    </row>
    <row r="48" spans="1:27" ht="13.8" thickBot="1">
      <c r="T48" s="3242"/>
      <c r="V48" s="3242"/>
      <c r="X48" s="3242"/>
      <c r="Z48" s="103"/>
    </row>
    <row r="49" spans="1:27" s="2284" customFormat="1" ht="27" thickBot="1">
      <c r="A49" s="442" t="s">
        <v>206</v>
      </c>
      <c r="B49" s="2279" t="s">
        <v>2</v>
      </c>
      <c r="C49" s="2280"/>
      <c r="D49" s="2281" t="s">
        <v>3</v>
      </c>
      <c r="E49" s="2767"/>
      <c r="F49" s="2282" t="s">
        <v>4</v>
      </c>
      <c r="G49" s="2767"/>
      <c r="H49" s="2283" t="s">
        <v>5</v>
      </c>
      <c r="I49" s="2767"/>
      <c r="J49" s="2283" t="s">
        <v>6</v>
      </c>
      <c r="K49" s="2767"/>
      <c r="L49" s="2283" t="s">
        <v>7</v>
      </c>
      <c r="M49" s="2280"/>
      <c r="N49" s="1489" t="s">
        <v>33</v>
      </c>
      <c r="O49" s="1488"/>
      <c r="P49" s="1489" t="s">
        <v>34</v>
      </c>
      <c r="Q49" s="1488"/>
      <c r="R49" s="1486" t="s">
        <v>35</v>
      </c>
      <c r="T49" s="3242"/>
      <c r="V49" s="3242"/>
      <c r="W49" s="3872"/>
      <c r="X49" s="3242"/>
      <c r="Y49" s="3842"/>
      <c r="Z49" s="3242"/>
    </row>
    <row r="50" spans="1:27" s="2278" customFormat="1">
      <c r="A50" s="2285"/>
      <c r="B50" s="65"/>
      <c r="C50" s="45"/>
      <c r="D50" s="66"/>
      <c r="E50" s="45"/>
      <c r="F50" s="66"/>
      <c r="G50" s="45"/>
      <c r="H50" s="66"/>
      <c r="I50" s="45"/>
      <c r="J50" s="66"/>
      <c r="K50" s="45"/>
      <c r="L50" s="66"/>
      <c r="M50" s="45"/>
      <c r="N50" s="1485"/>
      <c r="O50" s="1487"/>
      <c r="P50" s="1485"/>
      <c r="Q50" s="1487"/>
      <c r="R50" s="1484"/>
      <c r="T50" s="3242"/>
      <c r="V50" s="3242"/>
      <c r="W50" s="3170"/>
      <c r="X50" s="3242"/>
      <c r="Y50" s="3170"/>
      <c r="Z50" s="103"/>
    </row>
    <row r="51" spans="1:27" s="2278" customFormat="1">
      <c r="A51" s="2286" t="s">
        <v>213</v>
      </c>
      <c r="B51" s="2303">
        <v>1645</v>
      </c>
      <c r="C51" s="2299"/>
      <c r="D51" s="2304">
        <v>1713</v>
      </c>
      <c r="E51" s="2617"/>
      <c r="F51" s="2304">
        <v>1656</v>
      </c>
      <c r="G51" s="2617"/>
      <c r="H51" s="2304">
        <v>1396</v>
      </c>
      <c r="I51" s="2617"/>
      <c r="J51" s="2304">
        <v>1525</v>
      </c>
      <c r="K51" s="2617"/>
      <c r="L51" s="2304">
        <v>1795</v>
      </c>
      <c r="M51" s="2287"/>
      <c r="N51" s="2276">
        <f>AVERAGE(B51:F51)</f>
        <v>1671.3333333333333</v>
      </c>
      <c r="O51" s="1943"/>
      <c r="P51" s="2276">
        <f>AVERAGE(H51:L51)</f>
        <v>1572</v>
      </c>
      <c r="Q51" s="1943"/>
      <c r="R51" s="2277">
        <f>P51-N51</f>
        <v>-99.333333333333258</v>
      </c>
      <c r="T51" s="3242"/>
      <c r="V51" s="3242"/>
      <c r="W51" s="3170"/>
      <c r="X51" s="3242"/>
      <c r="Y51" s="3170"/>
      <c r="Z51" s="3849">
        <f t="shared" ref="Z51" si="22">R51/N51</f>
        <v>-5.9433585959313875E-2</v>
      </c>
      <c r="AA51" s="2749" t="s">
        <v>474</v>
      </c>
    </row>
    <row r="52" spans="1:27" s="2278" customFormat="1">
      <c r="A52" s="2286"/>
      <c r="B52" s="2303"/>
      <c r="C52" s="2299"/>
      <c r="D52" s="2304"/>
      <c r="E52" s="2617"/>
      <c r="F52" s="2304"/>
      <c r="G52" s="2617"/>
      <c r="H52" s="2304"/>
      <c r="I52" s="2617"/>
      <c r="J52" s="2304"/>
      <c r="K52" s="2617"/>
      <c r="L52" s="2304"/>
      <c r="M52" s="2288"/>
      <c r="N52" s="2276"/>
      <c r="O52" s="1943"/>
      <c r="P52" s="2276"/>
      <c r="Q52" s="1943"/>
      <c r="R52" s="2277"/>
      <c r="T52" s="3242"/>
      <c r="V52" s="3242"/>
      <c r="W52" s="3170"/>
      <c r="X52" s="3242"/>
      <c r="Y52" s="3170"/>
      <c r="Z52" s="103"/>
      <c r="AA52" s="2749"/>
    </row>
    <row r="53" spans="1:27" s="2278" customFormat="1">
      <c r="A53" s="2286" t="s">
        <v>214</v>
      </c>
      <c r="B53" s="2303">
        <v>304</v>
      </c>
      <c r="C53" s="2299"/>
      <c r="D53" s="2304">
        <v>320</v>
      </c>
      <c r="E53" s="2617"/>
      <c r="F53" s="2304">
        <v>310</v>
      </c>
      <c r="G53" s="2617"/>
      <c r="H53" s="2304">
        <v>305</v>
      </c>
      <c r="I53" s="2617"/>
      <c r="J53" s="2304">
        <v>317</v>
      </c>
      <c r="K53" s="2617"/>
      <c r="L53" s="2304">
        <v>380</v>
      </c>
      <c r="M53" s="77"/>
      <c r="N53" s="2276">
        <f t="shared" ref="N53" si="23">AVERAGE(B53:F53)</f>
        <v>311.33333333333331</v>
      </c>
      <c r="O53" s="1943"/>
      <c r="P53" s="2276">
        <f t="shared" ref="P53" si="24">AVERAGE(H53:L53)</f>
        <v>334</v>
      </c>
      <c r="Q53" s="1943"/>
      <c r="R53" s="2277">
        <f t="shared" ref="R53" si="25">P53-N53</f>
        <v>22.666666666666686</v>
      </c>
      <c r="T53" s="3242"/>
      <c r="V53" s="3242"/>
      <c r="W53" s="3170"/>
      <c r="X53" s="3242"/>
      <c r="Y53" s="3170"/>
      <c r="Z53" s="3849">
        <f>R53/N53</f>
        <v>7.2805139186295567E-2</v>
      </c>
      <c r="AA53" s="2749" t="s">
        <v>474</v>
      </c>
    </row>
    <row r="54" spans="1:27" s="2278" customFormat="1">
      <c r="A54" s="2286"/>
      <c r="B54" s="1873"/>
      <c r="C54" s="1872"/>
      <c r="D54" s="1874"/>
      <c r="E54" s="1872"/>
      <c r="F54" s="1874"/>
      <c r="G54" s="1872"/>
      <c r="H54" s="1874"/>
      <c r="I54" s="1872"/>
      <c r="J54" s="1874"/>
      <c r="K54" s="1872"/>
      <c r="L54" s="1874"/>
      <c r="M54" s="34"/>
      <c r="N54" s="1631"/>
      <c r="O54" s="1632"/>
      <c r="P54" s="1631"/>
      <c r="Q54" s="1632"/>
      <c r="R54" s="1633"/>
      <c r="T54" s="3242"/>
      <c r="V54" s="3242"/>
      <c r="W54" s="3170"/>
      <c r="X54" s="3242"/>
      <c r="Y54" s="3170"/>
      <c r="Z54" s="103"/>
    </row>
    <row r="55" spans="1:27" s="2278" customFormat="1" ht="13.8" thickBot="1">
      <c r="A55" s="105" t="s">
        <v>215</v>
      </c>
      <c r="B55" s="1390">
        <f>B53*4/B51</f>
        <v>0.73920972644376903</v>
      </c>
      <c r="C55" s="1383"/>
      <c r="D55" s="1379">
        <f>D53*4/D51</f>
        <v>0.7472270869819031</v>
      </c>
      <c r="E55" s="1383"/>
      <c r="F55" s="1379">
        <f>F53*4/F51</f>
        <v>0.74879227053140096</v>
      </c>
      <c r="G55" s="1383"/>
      <c r="H55" s="1379">
        <f>H53*4/H51</f>
        <v>0.87392550143266479</v>
      </c>
      <c r="I55" s="1383"/>
      <c r="J55" s="1379">
        <f>J53*4/J51</f>
        <v>0.8314754098360656</v>
      </c>
      <c r="K55" s="1383"/>
      <c r="L55" s="1379">
        <f>L53*4/L51</f>
        <v>0.84679665738161558</v>
      </c>
      <c r="M55" s="1383"/>
      <c r="N55" s="1472">
        <f t="shared" ref="N55" si="26">AVERAGE(B55:F55)</f>
        <v>0.74507636131902422</v>
      </c>
      <c r="O55" s="1473"/>
      <c r="P55" s="1472">
        <f t="shared" ref="P55" si="27">AVERAGE(H55:L55)</f>
        <v>0.85073252288344869</v>
      </c>
      <c r="Q55" s="1473"/>
      <c r="R55" s="3864">
        <f t="shared" ref="R55" si="28">P55-N55</f>
        <v>0.10565616156442448</v>
      </c>
      <c r="T55" s="3248" t="s">
        <v>324</v>
      </c>
      <c r="V55" s="3248" t="s">
        <v>326</v>
      </c>
      <c r="W55" s="3170"/>
      <c r="X55" s="3248" t="s">
        <v>493</v>
      </c>
      <c r="Y55" s="3170"/>
      <c r="Z55" s="103"/>
    </row>
    <row r="56" spans="1:27" s="2290" customFormat="1">
      <c r="A56" s="2289"/>
      <c r="B56" s="38"/>
      <c r="C56" s="38"/>
      <c r="D56" s="38"/>
      <c r="E56" s="38"/>
      <c r="F56" s="38"/>
      <c r="G56" s="38"/>
      <c r="H56" s="38"/>
      <c r="I56" s="38"/>
      <c r="J56" s="38"/>
      <c r="K56" s="38"/>
      <c r="L56" s="38"/>
      <c r="M56" s="38"/>
      <c r="N56" s="1629"/>
      <c r="O56" s="1630"/>
      <c r="P56" s="1629"/>
      <c r="Q56" s="1630"/>
      <c r="R56" s="1629"/>
      <c r="T56" s="3249"/>
      <c r="V56" s="3249"/>
      <c r="W56" s="3178"/>
      <c r="X56" s="3249"/>
      <c r="Y56" s="3178"/>
      <c r="Z56" s="3848"/>
    </row>
    <row r="57" spans="1:27" s="2290" customFormat="1">
      <c r="A57" s="1482" t="s">
        <v>216</v>
      </c>
      <c r="B57" s="38"/>
      <c r="C57" s="38"/>
      <c r="D57" s="38"/>
      <c r="E57" s="38"/>
      <c r="F57" s="38"/>
      <c r="G57" s="38"/>
      <c r="H57" s="38"/>
      <c r="I57" s="38"/>
      <c r="J57" s="38"/>
      <c r="K57" s="38"/>
      <c r="L57" s="38"/>
      <c r="M57" s="38"/>
      <c r="N57" s="1629"/>
      <c r="O57" s="1630"/>
      <c r="P57" s="1629"/>
      <c r="Q57" s="1630"/>
      <c r="R57" s="1629"/>
      <c r="T57" s="3249"/>
      <c r="V57" s="3249"/>
      <c r="W57" s="3178"/>
      <c r="X57" s="3249"/>
      <c r="Y57" s="3178"/>
      <c r="Z57" s="3848"/>
    </row>
    <row r="58" spans="1:27" ht="13.8" thickBot="1">
      <c r="T58" s="3242"/>
      <c r="V58" s="3242"/>
      <c r="X58" s="3242"/>
      <c r="Z58" s="103"/>
    </row>
    <row r="59" spans="1:27" s="2433" customFormat="1" ht="27" thickBot="1">
      <c r="A59" s="442" t="s">
        <v>217</v>
      </c>
      <c r="B59" s="2437" t="s">
        <v>2</v>
      </c>
      <c r="C59" s="2294"/>
      <c r="D59" s="2438" t="s">
        <v>3</v>
      </c>
      <c r="E59" s="2767"/>
      <c r="F59" s="2439" t="s">
        <v>4</v>
      </c>
      <c r="G59" s="2767"/>
      <c r="H59" s="2436" t="s">
        <v>5</v>
      </c>
      <c r="I59" s="2767"/>
      <c r="J59" s="2436" t="s">
        <v>6</v>
      </c>
      <c r="K59" s="2767"/>
      <c r="L59" s="2436" t="s">
        <v>7</v>
      </c>
      <c r="M59" s="2294"/>
      <c r="N59" s="1489" t="s">
        <v>33</v>
      </c>
      <c r="O59" s="1488"/>
      <c r="P59" s="1489" t="s">
        <v>34</v>
      </c>
      <c r="Q59" s="1488"/>
      <c r="R59" s="1486" t="s">
        <v>35</v>
      </c>
      <c r="T59" s="3242"/>
      <c r="V59" s="3242"/>
      <c r="W59" s="3872"/>
      <c r="X59" s="3242"/>
      <c r="Y59" s="3842"/>
      <c r="Z59" s="3242"/>
    </row>
    <row r="60" spans="1:27" s="2444" customFormat="1">
      <c r="A60" s="2445" t="s">
        <v>219</v>
      </c>
      <c r="B60" s="2453">
        <v>8832</v>
      </c>
      <c r="C60" s="2454"/>
      <c r="D60" s="2482">
        <v>8854</v>
      </c>
      <c r="E60" s="2481"/>
      <c r="F60" s="2482">
        <v>8718</v>
      </c>
      <c r="G60" s="2481"/>
      <c r="H60" s="2482">
        <v>8839</v>
      </c>
      <c r="I60" s="2481"/>
      <c r="J60" s="2482">
        <v>9685</v>
      </c>
      <c r="K60" s="2481"/>
      <c r="L60" s="2482">
        <v>9737</v>
      </c>
      <c r="M60" s="2376"/>
      <c r="N60" s="2374"/>
      <c r="O60" s="2377"/>
      <c r="P60" s="2374"/>
      <c r="Q60" s="2377"/>
      <c r="R60" s="2378"/>
      <c r="T60" s="3250"/>
      <c r="V60" s="3250"/>
      <c r="W60" s="2749"/>
      <c r="X60" s="3250"/>
      <c r="Y60" s="2749"/>
      <c r="Z60" s="3851"/>
    </row>
    <row r="61" spans="1:27" s="2432" customFormat="1">
      <c r="A61" s="2434"/>
      <c r="B61" s="2451"/>
      <c r="C61" s="2452"/>
      <c r="D61" s="2472"/>
      <c r="E61" s="2471"/>
      <c r="F61" s="2472"/>
      <c r="G61" s="2471"/>
      <c r="H61" s="2472"/>
      <c r="I61" s="2471"/>
      <c r="J61" s="2472"/>
      <c r="K61" s="2471"/>
      <c r="L61" s="2472"/>
      <c r="M61" s="2299"/>
      <c r="N61" s="2276"/>
      <c r="O61" s="1943"/>
      <c r="P61" s="2276"/>
      <c r="Q61" s="1943"/>
      <c r="R61" s="2277"/>
      <c r="T61" s="3242"/>
      <c r="V61" s="3242"/>
      <c r="W61" s="3170"/>
      <c r="X61" s="3242"/>
      <c r="Y61" s="3170"/>
      <c r="Z61" s="103"/>
    </row>
    <row r="62" spans="1:27" s="2432" customFormat="1">
      <c r="A62" s="2434" t="s">
        <v>220</v>
      </c>
      <c r="B62" s="2455">
        <v>571.53</v>
      </c>
      <c r="C62" s="2456"/>
      <c r="D62" s="2485">
        <v>583.70000000000005</v>
      </c>
      <c r="E62" s="2484"/>
      <c r="F62" s="2485">
        <v>559.5</v>
      </c>
      <c r="G62" s="2484"/>
      <c r="H62" s="2485">
        <v>561</v>
      </c>
      <c r="I62" s="2484"/>
      <c r="J62" s="2485">
        <v>595.1</v>
      </c>
      <c r="K62" s="2484"/>
      <c r="L62" s="2485">
        <v>544.73</v>
      </c>
      <c r="M62" s="2299"/>
      <c r="N62" s="2276"/>
      <c r="O62" s="1943"/>
      <c r="P62" s="2276"/>
      <c r="Q62" s="1943"/>
      <c r="R62" s="2277"/>
      <c r="T62" s="3242"/>
      <c r="V62" s="3242"/>
      <c r="W62" s="3170"/>
      <c r="X62" s="3242"/>
      <c r="Y62" s="3170"/>
      <c r="Z62" s="3852"/>
    </row>
    <row r="63" spans="1:27" s="2457" customFormat="1">
      <c r="A63" s="2462" t="s">
        <v>221</v>
      </c>
      <c r="B63" s="2449">
        <f>B60/B62</f>
        <v>15.45325704687418</v>
      </c>
      <c r="C63" s="2448"/>
      <c r="D63" s="2450">
        <f>D60/D62</f>
        <v>15.168751070755524</v>
      </c>
      <c r="E63" s="2448"/>
      <c r="F63" s="2450">
        <f>F60/F62</f>
        <v>15.58176943699732</v>
      </c>
      <c r="G63" s="2448"/>
      <c r="H63" s="2450">
        <f>H60/H62</f>
        <v>15.755793226381462</v>
      </c>
      <c r="I63" s="2448"/>
      <c r="J63" s="2450">
        <f>J60/J62</f>
        <v>16.27457570156276</v>
      </c>
      <c r="K63" s="2448"/>
      <c r="L63" s="2450">
        <f>L60/L62</f>
        <v>17.874910506122298</v>
      </c>
      <c r="M63" s="2299"/>
      <c r="N63" s="2447">
        <f>AVERAGE(B63:F63)</f>
        <v>15.401259184875675</v>
      </c>
      <c r="O63" s="2446"/>
      <c r="P63" s="2447">
        <f>AVERAGE(H63:L63)</f>
        <v>16.635093144688842</v>
      </c>
      <c r="Q63" s="2446"/>
      <c r="R63" s="3866">
        <f>P63-N63</f>
        <v>1.2338339598131665</v>
      </c>
      <c r="T63" s="3242"/>
      <c r="V63" s="3242"/>
      <c r="W63" s="3170"/>
      <c r="X63" s="3242"/>
      <c r="Y63" s="3170"/>
      <c r="Z63" s="3849">
        <f t="shared" ref="Z63" si="29">R63/N63</f>
        <v>8.0112537877734993E-2</v>
      </c>
      <c r="AA63" s="2749" t="s">
        <v>474</v>
      </c>
    </row>
    <row r="64" spans="1:27" s="2432" customFormat="1">
      <c r="A64" s="2434"/>
      <c r="B64" s="2303"/>
      <c r="C64" s="2299"/>
      <c r="D64" s="2304"/>
      <c r="E64" s="2617"/>
      <c r="F64" s="2304"/>
      <c r="G64" s="2617"/>
      <c r="H64" s="2304"/>
      <c r="I64" s="2617"/>
      <c r="J64" s="2304"/>
      <c r="K64" s="2617"/>
      <c r="L64" s="2304"/>
      <c r="M64" s="2301"/>
      <c r="N64" s="2276"/>
      <c r="O64" s="1943"/>
      <c r="P64" s="2276"/>
      <c r="Q64" s="1943"/>
      <c r="R64" s="2277"/>
      <c r="T64" s="3242"/>
      <c r="V64" s="3242"/>
      <c r="W64" s="3170"/>
      <c r="X64" s="3242"/>
      <c r="Y64" s="3170"/>
      <c r="Z64" s="103"/>
      <c r="AA64" s="2749"/>
    </row>
    <row r="65" spans="1:27" s="2432" customFormat="1">
      <c r="A65" s="2434" t="s">
        <v>222</v>
      </c>
      <c r="B65" s="2483">
        <v>1160.3</v>
      </c>
      <c r="C65" s="2484"/>
      <c r="D65" s="2485">
        <v>1131.5999999999999</v>
      </c>
      <c r="E65" s="2484"/>
      <c r="F65" s="2485">
        <v>1149.9000000000001</v>
      </c>
      <c r="G65" s="2484"/>
      <c r="H65" s="2485">
        <v>1145.4000000000001</v>
      </c>
      <c r="I65" s="2484"/>
      <c r="J65" s="2485">
        <v>995.5</v>
      </c>
      <c r="K65" s="2484"/>
      <c r="L65" s="2485">
        <v>976.1</v>
      </c>
      <c r="M65" s="77"/>
      <c r="N65" s="2276"/>
      <c r="O65" s="1943"/>
      <c r="P65" s="2276"/>
      <c r="Q65" s="1943"/>
      <c r="R65" s="2277"/>
      <c r="T65" s="3242"/>
      <c r="V65" s="3242"/>
      <c r="W65" s="3170"/>
      <c r="X65" s="3242"/>
      <c r="Y65" s="3170"/>
      <c r="Z65" s="103"/>
    </row>
    <row r="66" spans="1:27" s="2457" customFormat="1" ht="13.8" thickBot="1">
      <c r="A66" s="105" t="s">
        <v>223</v>
      </c>
      <c r="B66" s="2380">
        <f>B60/B65</f>
        <v>7.6118245281392749</v>
      </c>
      <c r="C66" s="2382"/>
      <c r="D66" s="2486">
        <f>D60/D65</f>
        <v>7.8243195475433023</v>
      </c>
      <c r="E66" s="2382"/>
      <c r="F66" s="2486">
        <f>F60/F65</f>
        <v>7.5815288285937905</v>
      </c>
      <c r="G66" s="2382"/>
      <c r="H66" s="2486">
        <f>H60/H65</f>
        <v>7.7169547756242354</v>
      </c>
      <c r="I66" s="2382"/>
      <c r="J66" s="2486">
        <f>J60/J65</f>
        <v>9.728779507785033</v>
      </c>
      <c r="K66" s="2382"/>
      <c r="L66" s="2486">
        <f>L60/L65</f>
        <v>9.975412355291466</v>
      </c>
      <c r="M66" s="27"/>
      <c r="N66" s="2381">
        <f>AVERAGE(B66:F66)</f>
        <v>7.6725576347587889</v>
      </c>
      <c r="O66" s="2379"/>
      <c r="P66" s="2381">
        <f>AVERAGE(H66:L66)</f>
        <v>9.1403822129002439</v>
      </c>
      <c r="Q66" s="2379"/>
      <c r="R66" s="3865">
        <f>P66-N66</f>
        <v>1.4678245781414549</v>
      </c>
      <c r="T66" s="3248" t="s">
        <v>326</v>
      </c>
      <c r="V66" s="3248" t="s">
        <v>326</v>
      </c>
      <c r="W66" s="3170"/>
      <c r="X66" s="3248" t="s">
        <v>489</v>
      </c>
      <c r="Y66" s="3170"/>
      <c r="Z66" s="3849">
        <f>R66/N66</f>
        <v>0.19130838085748711</v>
      </c>
      <c r="AA66" s="2749" t="s">
        <v>474</v>
      </c>
    </row>
    <row r="67" spans="1:27" s="2440" customFormat="1">
      <c r="A67" s="2435"/>
      <c r="B67" s="38"/>
      <c r="C67" s="38"/>
      <c r="D67" s="38"/>
      <c r="E67" s="38"/>
      <c r="F67" s="38"/>
      <c r="G67" s="38"/>
      <c r="H67" s="38"/>
      <c r="I67" s="38"/>
      <c r="J67" s="38"/>
      <c r="K67" s="38"/>
      <c r="L67" s="38"/>
      <c r="M67" s="38"/>
      <c r="N67" s="1629"/>
      <c r="O67" s="1630"/>
      <c r="P67" s="1629"/>
      <c r="Q67" s="1630"/>
      <c r="R67" s="1629"/>
      <c r="T67" s="3249"/>
      <c r="V67" s="3249"/>
      <c r="W67" s="3178"/>
      <c r="X67" s="3249"/>
      <c r="Y67" s="3178"/>
      <c r="Z67" s="3848"/>
    </row>
    <row r="68" spans="1:27" s="2440" customFormat="1">
      <c r="A68" s="1482" t="s">
        <v>218</v>
      </c>
      <c r="B68" s="38"/>
      <c r="C68" s="38"/>
      <c r="D68" s="38"/>
      <c r="E68" s="38"/>
      <c r="F68" s="38"/>
      <c r="G68" s="38"/>
      <c r="H68" s="38"/>
      <c r="I68" s="38"/>
      <c r="J68" s="38"/>
      <c r="K68" s="38"/>
      <c r="L68" s="38"/>
      <c r="M68" s="38"/>
      <c r="N68" s="1629"/>
      <c r="O68" s="1630"/>
      <c r="P68" s="1629"/>
      <c r="Q68" s="1630"/>
      <c r="R68" s="1629"/>
      <c r="T68" s="3249"/>
      <c r="V68" s="3249"/>
      <c r="W68" s="3178"/>
      <c r="X68" s="3249"/>
      <c r="Y68" s="3178"/>
      <c r="Z68" s="3848"/>
    </row>
    <row r="69" spans="1:27" ht="13.8" thickBot="1">
      <c r="T69" s="3242"/>
      <c r="V69" s="3242"/>
      <c r="X69" s="3242"/>
      <c r="Z69" s="103"/>
    </row>
    <row r="70" spans="1:27" s="2743" customFormat="1" ht="33.75" customHeight="1" thickBot="1">
      <c r="A70" s="442" t="s">
        <v>225</v>
      </c>
      <c r="B70" s="2738" t="s">
        <v>2</v>
      </c>
      <c r="C70" s="2739"/>
      <c r="D70" s="2740" t="s">
        <v>3</v>
      </c>
      <c r="E70" s="2767"/>
      <c r="F70" s="2741" t="s">
        <v>4</v>
      </c>
      <c r="G70" s="2767"/>
      <c r="H70" s="2742" t="s">
        <v>5</v>
      </c>
      <c r="I70" s="2767"/>
      <c r="J70" s="2742" t="s">
        <v>6</v>
      </c>
      <c r="K70" s="2767"/>
      <c r="L70" s="2742" t="s">
        <v>7</v>
      </c>
      <c r="M70" s="2739"/>
      <c r="N70" s="1489" t="s">
        <v>33</v>
      </c>
      <c r="O70" s="1488"/>
      <c r="P70" s="1489" t="s">
        <v>34</v>
      </c>
      <c r="Q70" s="1488"/>
      <c r="R70" s="1486" t="s">
        <v>35</v>
      </c>
      <c r="T70" s="3242"/>
      <c r="V70" s="3242"/>
      <c r="W70" s="3872"/>
      <c r="X70" s="3242"/>
      <c r="Y70" s="3842"/>
      <c r="Z70" s="3242"/>
    </row>
    <row r="71" spans="1:27" s="2749" customFormat="1">
      <c r="A71" s="2757" t="s">
        <v>226</v>
      </c>
      <c r="B71" s="2756"/>
      <c r="C71" s="2751"/>
      <c r="D71" s="2755"/>
      <c r="E71" s="2770"/>
      <c r="F71" s="2755"/>
      <c r="G71" s="2770"/>
      <c r="H71" s="2755"/>
      <c r="I71" s="2770"/>
      <c r="J71" s="2755"/>
      <c r="K71" s="2770"/>
      <c r="L71" s="2755"/>
      <c r="M71" s="2376"/>
      <c r="N71" s="2826"/>
      <c r="O71" s="2827"/>
      <c r="P71" s="2826"/>
      <c r="Q71" s="2827"/>
      <c r="R71" s="2828"/>
      <c r="T71" s="3250"/>
      <c r="V71" s="3250"/>
      <c r="X71" s="3250"/>
      <c r="Z71" s="3851"/>
    </row>
    <row r="72" spans="1:27" s="2749" customFormat="1">
      <c r="A72" s="2750"/>
      <c r="B72" s="2754"/>
      <c r="C72" s="2752"/>
      <c r="D72" s="2753"/>
      <c r="E72" s="2774"/>
      <c r="F72" s="2753"/>
      <c r="G72" s="2774"/>
      <c r="H72" s="2753"/>
      <c r="I72" s="2774"/>
      <c r="J72" s="2753"/>
      <c r="K72" s="2774"/>
      <c r="L72" s="2753"/>
      <c r="M72" s="2696"/>
      <c r="N72" s="2829"/>
      <c r="O72" s="2830"/>
      <c r="P72" s="2829"/>
      <c r="Q72" s="2830"/>
      <c r="R72" s="2831"/>
      <c r="T72" s="3250"/>
      <c r="V72" s="3250"/>
      <c r="X72" s="3250"/>
      <c r="Z72" s="3851"/>
    </row>
    <row r="73" spans="1:27" s="2749" customFormat="1">
      <c r="A73" s="2750" t="s">
        <v>227</v>
      </c>
      <c r="B73" s="2754">
        <v>2098</v>
      </c>
      <c r="C73" s="2752"/>
      <c r="D73" s="2753">
        <v>2128</v>
      </c>
      <c r="E73" s="2774"/>
      <c r="F73" s="2753">
        <v>2321</v>
      </c>
      <c r="G73" s="2774"/>
      <c r="H73" s="2753">
        <v>2493</v>
      </c>
      <c r="I73" s="2774"/>
      <c r="J73" s="2753">
        <v>3214</v>
      </c>
      <c r="K73" s="2774"/>
      <c r="L73" s="2753">
        <v>3733</v>
      </c>
      <c r="M73" s="2696"/>
      <c r="N73" s="2829">
        <f>AVERAGE(B73:F73)</f>
        <v>2182.3333333333335</v>
      </c>
      <c r="O73" s="2830"/>
      <c r="P73" s="2829">
        <f>AVERAGE(H73:L73)</f>
        <v>3146.6666666666665</v>
      </c>
      <c r="Q73" s="2830"/>
      <c r="R73" s="2831">
        <f>P73-N73</f>
        <v>964.33333333333303</v>
      </c>
      <c r="T73" s="3250"/>
      <c r="V73" s="3250"/>
      <c r="X73" s="3250"/>
      <c r="Z73" s="3851"/>
    </row>
    <row r="74" spans="1:27" s="2749" customFormat="1">
      <c r="A74" s="2750"/>
      <c r="B74" s="2754"/>
      <c r="C74" s="2752"/>
      <c r="D74" s="2753"/>
      <c r="E74" s="2774"/>
      <c r="F74" s="2753"/>
      <c r="G74" s="2774"/>
      <c r="H74" s="2753"/>
      <c r="I74" s="2774"/>
      <c r="J74" s="2753"/>
      <c r="K74" s="2774"/>
      <c r="L74" s="2753"/>
      <c r="M74" s="2696"/>
      <c r="N74" s="2829"/>
      <c r="O74" s="2830"/>
      <c r="P74" s="2829"/>
      <c r="Q74" s="2830"/>
      <c r="R74" s="2831"/>
      <c r="T74" s="3250"/>
      <c r="V74" s="3250"/>
      <c r="X74" s="3250"/>
      <c r="Z74" s="3851"/>
    </row>
    <row r="75" spans="1:27" s="2749" customFormat="1">
      <c r="A75" s="2750" t="s">
        <v>228</v>
      </c>
      <c r="B75" s="2754">
        <v>360</v>
      </c>
      <c r="C75" s="2752"/>
      <c r="D75" s="2753">
        <v>392</v>
      </c>
      <c r="E75" s="2774"/>
      <c r="F75" s="2753">
        <v>387</v>
      </c>
      <c r="G75" s="2774"/>
      <c r="H75" s="2753">
        <v>418</v>
      </c>
      <c r="I75" s="2774"/>
      <c r="J75" s="2753">
        <v>505</v>
      </c>
      <c r="K75" s="2774"/>
      <c r="L75" s="2753">
        <v>531</v>
      </c>
      <c r="M75" s="2696"/>
      <c r="N75" s="2829">
        <f>AVERAGE(B75:F75)</f>
        <v>379.66666666666669</v>
      </c>
      <c r="O75" s="2830"/>
      <c r="P75" s="2829">
        <f>AVERAGE(H75:L75)</f>
        <v>484.66666666666669</v>
      </c>
      <c r="Q75" s="2830"/>
      <c r="R75" s="2831">
        <f>P75-N75</f>
        <v>105</v>
      </c>
      <c r="T75" s="3250"/>
      <c r="V75" s="3250"/>
      <c r="X75" s="3250"/>
      <c r="Z75" s="3851"/>
    </row>
    <row r="76" spans="1:27" s="2749" customFormat="1">
      <c r="A76" s="2757"/>
      <c r="B76" s="2756"/>
      <c r="C76" s="2751"/>
      <c r="D76" s="2755"/>
      <c r="E76" s="2770"/>
      <c r="F76" s="2755"/>
      <c r="G76" s="2770"/>
      <c r="H76" s="2755"/>
      <c r="I76" s="2770"/>
      <c r="J76" s="2755"/>
      <c r="K76" s="2770"/>
      <c r="L76" s="2755"/>
      <c r="M76" s="2696"/>
      <c r="N76" s="2829"/>
      <c r="O76" s="2830"/>
      <c r="P76" s="2829"/>
      <c r="Q76" s="2830"/>
      <c r="R76" s="2831"/>
      <c r="T76" s="3250"/>
      <c r="V76" s="3250"/>
      <c r="X76" s="3250"/>
      <c r="Z76" s="3851"/>
    </row>
    <row r="77" spans="1:27" s="2765" customFormat="1" ht="13.8" thickBot="1">
      <c r="A77" s="2806" t="s">
        <v>229</v>
      </c>
      <c r="B77" s="2832">
        <f>SUM(B73:B75)</f>
        <v>2458</v>
      </c>
      <c r="C77" s="2807"/>
      <c r="D77" s="2833">
        <f>SUM(D73:D75)</f>
        <v>2520</v>
      </c>
      <c r="E77" s="2807"/>
      <c r="F77" s="2833">
        <f>SUM(F73:F75)</f>
        <v>2708</v>
      </c>
      <c r="G77" s="2807"/>
      <c r="H77" s="2833">
        <f>SUM(H73:H75)</f>
        <v>2911</v>
      </c>
      <c r="I77" s="2807"/>
      <c r="J77" s="2833">
        <f>SUM(J73:J75)</f>
        <v>3719</v>
      </c>
      <c r="K77" s="2807"/>
      <c r="L77" s="2833">
        <f>SUM(L73:L75)</f>
        <v>4264</v>
      </c>
      <c r="M77" s="2834"/>
      <c r="N77" s="2835">
        <f>AVERAGE(B77:F77)</f>
        <v>2562</v>
      </c>
      <c r="O77" s="2836"/>
      <c r="P77" s="2835">
        <f>AVERAGE(H77:L77)</f>
        <v>3631.3333333333335</v>
      </c>
      <c r="Q77" s="2836"/>
      <c r="R77" s="2837">
        <f>P77-N77</f>
        <v>1069.3333333333335</v>
      </c>
      <c r="T77" s="3242"/>
      <c r="V77" s="3242"/>
      <c r="W77" s="3170"/>
      <c r="X77" s="3242"/>
      <c r="Y77" s="3170"/>
      <c r="Z77" s="103"/>
    </row>
    <row r="78" spans="1:27" s="2749" customFormat="1">
      <c r="A78" s="2750"/>
      <c r="B78" s="2754"/>
      <c r="C78" s="2752"/>
      <c r="D78" s="2753"/>
      <c r="E78" s="2774"/>
      <c r="F78" s="2753"/>
      <c r="G78" s="2774"/>
      <c r="H78" s="2753"/>
      <c r="I78" s="2774"/>
      <c r="J78" s="2753"/>
      <c r="K78" s="2774"/>
      <c r="L78" s="2753"/>
      <c r="M78" s="2696"/>
      <c r="N78" s="2829"/>
      <c r="O78" s="2830"/>
      <c r="P78" s="2829"/>
      <c r="Q78" s="2830"/>
      <c r="R78" s="2831"/>
      <c r="T78" s="3250"/>
      <c r="V78" s="3250"/>
      <c r="X78" s="3250"/>
      <c r="Z78" s="3851"/>
    </row>
    <row r="79" spans="1:27" s="2749" customFormat="1">
      <c r="A79" s="2757" t="s">
        <v>226</v>
      </c>
      <c r="B79" s="2754"/>
      <c r="C79" s="2752"/>
      <c r="D79" s="2753"/>
      <c r="E79" s="2774"/>
      <c r="F79" s="2753"/>
      <c r="G79" s="2774"/>
      <c r="H79" s="2753"/>
      <c r="I79" s="2774"/>
      <c r="J79" s="2753"/>
      <c r="K79" s="2774"/>
      <c r="L79" s="2753"/>
      <c r="M79" s="2696"/>
      <c r="N79" s="2829"/>
      <c r="O79" s="2830"/>
      <c r="P79" s="2829"/>
      <c r="Q79" s="2830"/>
      <c r="R79" s="2831"/>
      <c r="T79" s="3250"/>
      <c r="V79" s="3250"/>
      <c r="X79" s="3250"/>
      <c r="Z79" s="3851"/>
    </row>
    <row r="80" spans="1:27" s="2749" customFormat="1">
      <c r="A80" s="2750"/>
      <c r="B80" s="2754"/>
      <c r="C80" s="2752"/>
      <c r="D80" s="78">
        <f>D81/('Student Enrollment BRS VIII '!B637)</f>
        <v>6.0654807731269501E-2</v>
      </c>
      <c r="E80" s="77"/>
      <c r="F80" s="78">
        <f>F81/('Student Enrollment BRS VIII '!D637)</f>
        <v>6.6625162407968813E-2</v>
      </c>
      <c r="G80" s="77"/>
      <c r="H80" s="78">
        <f>H81/('Student Enrollment BRS VIII '!F637)</f>
        <v>6.4197287494086111E-2</v>
      </c>
      <c r="I80" s="77"/>
      <c r="J80" s="78">
        <f>J81/('Student Enrollment BRS VIII '!H637)</f>
        <v>8.2140881894514559E-2</v>
      </c>
      <c r="K80" s="77"/>
      <c r="L80" s="78">
        <f>L81/('Student Enrollment BRS VIII '!J637)</f>
        <v>0.10076859213042166</v>
      </c>
      <c r="M80" s="2696"/>
      <c r="N80" s="2829"/>
      <c r="O80" s="2830"/>
      <c r="P80" s="2829"/>
      <c r="Q80" s="2830"/>
      <c r="R80" s="2831"/>
      <c r="T80" s="3250"/>
      <c r="V80" s="3250"/>
      <c r="X80" s="3250"/>
      <c r="Z80" s="3851"/>
    </row>
    <row r="81" spans="1:27" s="2749" customFormat="1">
      <c r="A81" s="2750" t="s">
        <v>230</v>
      </c>
      <c r="B81" s="3540">
        <v>436.45</v>
      </c>
      <c r="C81" s="3541"/>
      <c r="D81" s="3542">
        <v>449.07</v>
      </c>
      <c r="E81" s="3541"/>
      <c r="F81" s="3542">
        <v>492.28</v>
      </c>
      <c r="G81" s="3541"/>
      <c r="H81" s="3542">
        <v>488.49</v>
      </c>
      <c r="I81" s="3541"/>
      <c r="J81" s="3542">
        <v>653.48</v>
      </c>
      <c r="K81" s="3541"/>
      <c r="L81" s="3542">
        <v>801.07</v>
      </c>
      <c r="M81" s="2696"/>
      <c r="N81" s="2829">
        <f>AVERAGE(B81:F81)</f>
        <v>459.26666666666665</v>
      </c>
      <c r="O81" s="2830"/>
      <c r="P81" s="2829">
        <f>AVERAGE(H81:L81)</f>
        <v>647.67999999999995</v>
      </c>
      <c r="Q81" s="2830"/>
      <c r="R81" s="3867">
        <f>P81-N81</f>
        <v>188.4133333333333</v>
      </c>
      <c r="T81" s="3250"/>
      <c r="V81" s="3250"/>
      <c r="X81" s="3250"/>
      <c r="Z81" s="3849">
        <f>R81/N81</f>
        <v>0.41024822180287407</v>
      </c>
      <c r="AA81" s="2749" t="s">
        <v>474</v>
      </c>
    </row>
    <row r="82" spans="1:27" s="2749" customFormat="1">
      <c r="A82" s="2750"/>
      <c r="B82" s="3540"/>
      <c r="C82" s="3541"/>
      <c r="D82" s="3542"/>
      <c r="E82" s="3541"/>
      <c r="F82" s="3542"/>
      <c r="G82" s="3541"/>
      <c r="H82" s="3542"/>
      <c r="I82" s="3541"/>
      <c r="J82" s="3542"/>
      <c r="K82" s="3541"/>
      <c r="L82" s="3542"/>
      <c r="M82" s="2696"/>
      <c r="N82" s="2829"/>
      <c r="O82" s="2830"/>
      <c r="P82" s="2829"/>
      <c r="Q82" s="2830"/>
      <c r="R82" s="2831"/>
      <c r="T82" s="3250"/>
      <c r="V82" s="3250"/>
      <c r="X82" s="3250"/>
      <c r="Z82" s="103"/>
    </row>
    <row r="83" spans="1:27" s="2749" customFormat="1">
      <c r="A83" s="2750" t="s">
        <v>231</v>
      </c>
      <c r="B83" s="3540">
        <v>126.46</v>
      </c>
      <c r="C83" s="3541"/>
      <c r="D83" s="3542">
        <v>146.16999999999999</v>
      </c>
      <c r="E83" s="3541"/>
      <c r="F83" s="3542">
        <v>148.84</v>
      </c>
      <c r="G83" s="3541"/>
      <c r="H83" s="3542">
        <v>158.91999999999999</v>
      </c>
      <c r="I83" s="3541"/>
      <c r="J83" s="3542">
        <v>185.8</v>
      </c>
      <c r="K83" s="3541"/>
      <c r="L83" s="3542">
        <v>196.96</v>
      </c>
      <c r="M83" s="2696"/>
      <c r="N83" s="2829">
        <f>AVERAGE(B83:F83)</f>
        <v>140.49</v>
      </c>
      <c r="O83" s="2830"/>
      <c r="P83" s="2829">
        <f>AVERAGE(H83:L83)</f>
        <v>180.56000000000003</v>
      </c>
      <c r="Q83" s="2830"/>
      <c r="R83" s="2831">
        <f>P83-N83</f>
        <v>40.070000000000022</v>
      </c>
      <c r="T83" s="3250"/>
      <c r="V83" s="3250"/>
      <c r="X83" s="3250"/>
      <c r="Z83" s="103"/>
    </row>
    <row r="84" spans="1:27" s="2749" customFormat="1">
      <c r="A84" s="2750"/>
      <c r="B84" s="2764"/>
      <c r="C84" s="2762"/>
      <c r="D84" s="2763"/>
      <c r="E84" s="2805"/>
      <c r="F84" s="2763"/>
      <c r="G84" s="2805"/>
      <c r="H84" s="2763"/>
      <c r="I84" s="2805"/>
      <c r="J84" s="2763"/>
      <c r="K84" s="2805"/>
      <c r="L84" s="2763"/>
      <c r="M84" s="2696"/>
      <c r="N84" s="2829"/>
      <c r="O84" s="2830"/>
      <c r="P84" s="2829"/>
      <c r="Q84" s="2830"/>
      <c r="R84" s="2831"/>
      <c r="T84" s="3250"/>
      <c r="V84" s="3250"/>
      <c r="X84" s="3250"/>
      <c r="Z84" s="103"/>
    </row>
    <row r="85" spans="1:27" s="2765" customFormat="1" ht="13.8" thickBot="1">
      <c r="A85" s="2806" t="s">
        <v>232</v>
      </c>
      <c r="B85" s="2838">
        <f>SUM(B81:B83)</f>
        <v>562.91</v>
      </c>
      <c r="C85" s="2808"/>
      <c r="D85" s="2839">
        <f>SUM(D81:D83)</f>
        <v>595.24</v>
      </c>
      <c r="E85" s="2808"/>
      <c r="F85" s="2839">
        <f>SUM(F81:F83)</f>
        <v>641.12</v>
      </c>
      <c r="G85" s="2808"/>
      <c r="H85" s="2839">
        <f>SUM(H81:H83)</f>
        <v>647.41</v>
      </c>
      <c r="I85" s="2808"/>
      <c r="J85" s="2839">
        <f>SUM(J81:J83)</f>
        <v>839.28</v>
      </c>
      <c r="K85" s="2808"/>
      <c r="L85" s="2839">
        <f>SUM(L81:L83)</f>
        <v>998.03000000000009</v>
      </c>
      <c r="M85" s="2834"/>
      <c r="N85" s="2835">
        <f>AVERAGE(B85:F85)</f>
        <v>599.75666666666666</v>
      </c>
      <c r="O85" s="2836"/>
      <c r="P85" s="2835">
        <f>AVERAGE(H85:L85)</f>
        <v>828.24000000000012</v>
      </c>
      <c r="Q85" s="2836"/>
      <c r="R85" s="2837">
        <f>P85-N85</f>
        <v>228.48333333333346</v>
      </c>
      <c r="T85" s="3242"/>
      <c r="V85" s="3242"/>
      <c r="W85" s="3170"/>
      <c r="X85" s="3242"/>
      <c r="Y85" s="3170"/>
      <c r="Z85" s="103"/>
    </row>
    <row r="86" spans="1:27" s="2749" customFormat="1">
      <c r="A86" s="2750"/>
      <c r="B86" s="2754"/>
      <c r="C86" s="2752"/>
      <c r="D86" s="2753"/>
      <c r="E86" s="2774"/>
      <c r="F86" s="2753"/>
      <c r="G86" s="2774"/>
      <c r="H86" s="2753"/>
      <c r="I86" s="2774"/>
      <c r="J86" s="2753"/>
      <c r="K86" s="2774"/>
      <c r="L86" s="2753"/>
      <c r="M86" s="2696"/>
      <c r="N86" s="2694"/>
      <c r="O86" s="2695"/>
      <c r="P86" s="2694"/>
      <c r="Q86" s="2695"/>
      <c r="R86" s="2488"/>
      <c r="T86" s="3250"/>
      <c r="V86" s="3250"/>
      <c r="X86" s="3250"/>
      <c r="Z86" s="103"/>
    </row>
    <row r="87" spans="1:27" s="2749" customFormat="1">
      <c r="A87" s="2757" t="s">
        <v>233</v>
      </c>
      <c r="B87" s="2754"/>
      <c r="C87" s="2752"/>
      <c r="D87" s="2753"/>
      <c r="E87" s="2774"/>
      <c r="F87" s="2753"/>
      <c r="G87" s="2774"/>
      <c r="H87" s="2753"/>
      <c r="I87" s="2774"/>
      <c r="J87" s="2753"/>
      <c r="K87" s="2774"/>
      <c r="L87" s="2753"/>
      <c r="M87" s="2696"/>
      <c r="N87" s="2694"/>
      <c r="O87" s="2695"/>
      <c r="P87" s="2694"/>
      <c r="Q87" s="2695"/>
      <c r="R87" s="2488"/>
      <c r="T87" s="3250"/>
      <c r="V87" s="3250"/>
      <c r="X87" s="3250"/>
      <c r="Z87" s="103"/>
    </row>
    <row r="88" spans="1:27" s="2749" customFormat="1">
      <c r="A88" s="2750"/>
      <c r="B88" s="3533">
        <v>641192</v>
      </c>
      <c r="C88" s="3534"/>
      <c r="D88" s="3535">
        <v>679806</v>
      </c>
      <c r="E88" s="3534"/>
      <c r="F88" s="3535">
        <v>937551</v>
      </c>
      <c r="G88" s="3534"/>
      <c r="H88" s="3535">
        <v>990923</v>
      </c>
      <c r="I88" s="3534"/>
      <c r="J88" s="3535">
        <v>1433611</v>
      </c>
      <c r="K88" s="3534"/>
      <c r="L88" s="3535">
        <v>2017548</v>
      </c>
      <c r="M88" s="2696"/>
      <c r="N88" s="2694"/>
      <c r="O88" s="2695"/>
      <c r="P88" s="2694"/>
      <c r="Q88" s="2695"/>
      <c r="R88" s="2488"/>
      <c r="T88" s="3250"/>
      <c r="V88" s="3250"/>
      <c r="X88" s="3250"/>
      <c r="Z88" s="103"/>
    </row>
    <row r="89" spans="1:27" s="2749" customFormat="1">
      <c r="A89" s="2750" t="s">
        <v>234</v>
      </c>
      <c r="B89" s="2761">
        <f>B88/B81</f>
        <v>1469.1075724596174</v>
      </c>
      <c r="C89" s="2759"/>
      <c r="D89" s="2760">
        <f>D88/D81</f>
        <v>1513.8085376444653</v>
      </c>
      <c r="E89" s="2804"/>
      <c r="F89" s="2760">
        <f>F88/F81</f>
        <v>1904.5075973023484</v>
      </c>
      <c r="G89" s="2804"/>
      <c r="H89" s="2760">
        <f>H88/H81</f>
        <v>2028.5430612704456</v>
      </c>
      <c r="I89" s="2804"/>
      <c r="J89" s="2760">
        <f>J88/J81</f>
        <v>2193.8100630470708</v>
      </c>
      <c r="K89" s="2804"/>
      <c r="L89" s="2760">
        <f>L88/L81</f>
        <v>2518.566417416705</v>
      </c>
      <c r="M89" s="2696"/>
      <c r="N89" s="2694">
        <f>AVERAGE(B89:F89)</f>
        <v>1629.1412358021437</v>
      </c>
      <c r="O89" s="2695"/>
      <c r="P89" s="2694">
        <f>AVERAGE(H89:L89)</f>
        <v>2246.9731805780739</v>
      </c>
      <c r="Q89" s="2695"/>
      <c r="R89" s="3868">
        <f>P89-N89</f>
        <v>617.8319447759302</v>
      </c>
      <c r="T89" s="3537"/>
      <c r="V89" s="3537"/>
      <c r="X89" s="3537"/>
      <c r="Z89" s="3853">
        <f>R89/N89</f>
        <v>0.37923780406413138</v>
      </c>
      <c r="AA89" s="2749" t="s">
        <v>474</v>
      </c>
    </row>
    <row r="90" spans="1:27" s="2749" customFormat="1">
      <c r="A90" s="2750"/>
      <c r="B90" s="2761"/>
      <c r="C90" s="2759"/>
      <c r="D90" s="2760"/>
      <c r="E90" s="2804"/>
      <c r="F90" s="2760"/>
      <c r="G90" s="2804"/>
      <c r="H90" s="2760"/>
      <c r="I90" s="2804"/>
      <c r="J90" s="2760"/>
      <c r="K90" s="2804"/>
      <c r="L90" s="2760"/>
      <c r="M90" s="2696"/>
      <c r="N90" s="2694"/>
      <c r="O90" s="2695"/>
      <c r="P90" s="2694"/>
      <c r="Q90" s="2695"/>
      <c r="R90" s="3536"/>
      <c r="T90" s="3250"/>
      <c r="V90" s="3250"/>
      <c r="X90" s="3250"/>
      <c r="Z90" s="103"/>
    </row>
    <row r="91" spans="1:27" s="2749" customFormat="1">
      <c r="A91" s="2769" t="s">
        <v>235</v>
      </c>
      <c r="B91" s="2761">
        <f>B89/30</f>
        <v>48.97025241532058</v>
      </c>
      <c r="C91" s="2759"/>
      <c r="D91" s="2760">
        <f>D89/30</f>
        <v>50.460284588148845</v>
      </c>
      <c r="E91" s="2804"/>
      <c r="F91" s="2760">
        <f>F89/30</f>
        <v>63.483586576744948</v>
      </c>
      <c r="G91" s="2804"/>
      <c r="H91" s="2760">
        <f>H89/30</f>
        <v>67.618102042348184</v>
      </c>
      <c r="I91" s="2804"/>
      <c r="J91" s="2760">
        <f>J89/30</f>
        <v>73.127002101569033</v>
      </c>
      <c r="K91" s="2804"/>
      <c r="L91" s="2760">
        <f>L89/30</f>
        <v>83.952213913890162</v>
      </c>
      <c r="M91" s="2696"/>
      <c r="N91" s="2694">
        <f>AVERAGE(B91:F91)</f>
        <v>54.30470786007146</v>
      </c>
      <c r="O91" s="2695"/>
      <c r="P91" s="2694">
        <f>AVERAGE(H91:L91)</f>
        <v>74.899106019269126</v>
      </c>
      <c r="Q91" s="2695"/>
      <c r="R91" s="3536">
        <f>P91-N91</f>
        <v>20.594398159197667</v>
      </c>
      <c r="T91" s="3250"/>
      <c r="V91" s="3250"/>
      <c r="X91" s="3250"/>
      <c r="Z91" s="3851"/>
    </row>
    <row r="92" spans="1:27" s="2749" customFormat="1">
      <c r="A92" s="2757"/>
      <c r="B92" s="2761"/>
      <c r="C92" s="2759"/>
      <c r="D92" s="2760"/>
      <c r="E92" s="2804"/>
      <c r="F92" s="2760"/>
      <c r="G92" s="2804"/>
      <c r="H92" s="2760"/>
      <c r="I92" s="2804"/>
      <c r="J92" s="2760"/>
      <c r="K92" s="2804"/>
      <c r="L92" s="2760"/>
      <c r="M92" s="2696"/>
      <c r="N92" s="2694"/>
      <c r="O92" s="2695"/>
      <c r="P92" s="2694"/>
      <c r="Q92" s="2695"/>
      <c r="R92" s="2488"/>
      <c r="T92" s="3250"/>
      <c r="V92" s="3250"/>
      <c r="X92" s="3250"/>
      <c r="Z92" s="3851"/>
    </row>
    <row r="93" spans="1:27" s="2765" customFormat="1" ht="13.8" thickBot="1">
      <c r="A93" s="2809" t="s">
        <v>236</v>
      </c>
      <c r="B93" s="2840">
        <f>B89*B81</f>
        <v>641192</v>
      </c>
      <c r="C93" s="2810"/>
      <c r="D93" s="2841">
        <f>D89*D81</f>
        <v>679806</v>
      </c>
      <c r="E93" s="2810"/>
      <c r="F93" s="2841">
        <f>F89*F81</f>
        <v>937551</v>
      </c>
      <c r="G93" s="2810"/>
      <c r="H93" s="2841">
        <f>H89*H81</f>
        <v>990923</v>
      </c>
      <c r="I93" s="2810"/>
      <c r="J93" s="2841">
        <f>J89*J81</f>
        <v>1433610.9999999998</v>
      </c>
      <c r="K93" s="2810"/>
      <c r="L93" s="2841">
        <f>L89*L81</f>
        <v>2017548</v>
      </c>
      <c r="M93" s="2834"/>
      <c r="N93" s="2842">
        <f>AVERAGE(B93:F93)</f>
        <v>752849.66666666663</v>
      </c>
      <c r="O93" s="2843"/>
      <c r="P93" s="2842">
        <f>AVERAGE(H93:L93)</f>
        <v>1480694</v>
      </c>
      <c r="Q93" s="2843"/>
      <c r="R93" s="2844">
        <f>P93-N93</f>
        <v>727844.33333333337</v>
      </c>
      <c r="T93" s="3538"/>
      <c r="V93" s="3538"/>
      <c r="W93" s="3170"/>
      <c r="X93" s="3538"/>
      <c r="Y93" s="3170"/>
      <c r="Z93" s="103"/>
    </row>
    <row r="94" spans="1:27" s="2749" customFormat="1">
      <c r="A94" s="2758"/>
      <c r="B94" s="2761"/>
      <c r="C94" s="2759"/>
      <c r="D94" s="2760"/>
      <c r="E94" s="2804"/>
      <c r="F94" s="2760"/>
      <c r="G94" s="2804"/>
      <c r="H94" s="2760"/>
      <c r="I94" s="2804"/>
      <c r="J94" s="2760"/>
      <c r="K94" s="2804"/>
      <c r="L94" s="2760"/>
      <c r="M94" s="2696"/>
      <c r="N94" s="2694"/>
      <c r="O94" s="2695"/>
      <c r="P94" s="2694"/>
      <c r="Q94" s="2695"/>
      <c r="R94" s="2488"/>
      <c r="T94" s="3250"/>
      <c r="V94" s="3250"/>
      <c r="X94" s="3250"/>
      <c r="Z94" s="3851"/>
    </row>
    <row r="95" spans="1:27" s="2749" customFormat="1">
      <c r="A95" s="2757" t="s">
        <v>237</v>
      </c>
      <c r="B95" s="2754"/>
      <c r="C95" s="2752"/>
      <c r="D95" s="2753"/>
      <c r="E95" s="2774"/>
      <c r="F95" s="2753"/>
      <c r="G95" s="2774"/>
      <c r="H95" s="2753"/>
      <c r="I95" s="2774"/>
      <c r="J95" s="2753"/>
      <c r="K95" s="2774"/>
      <c r="L95" s="2753"/>
      <c r="M95" s="2696"/>
      <c r="N95" s="2694"/>
      <c r="O95" s="2695"/>
      <c r="P95" s="2694"/>
      <c r="Q95" s="2695"/>
      <c r="R95" s="2488"/>
      <c r="T95" s="3250"/>
      <c r="V95" s="3250"/>
      <c r="X95" s="3250"/>
      <c r="Z95" s="3851"/>
    </row>
    <row r="96" spans="1:27" s="2749" customFormat="1">
      <c r="A96" s="2750"/>
      <c r="B96" s="2761">
        <v>176261</v>
      </c>
      <c r="C96" s="2804"/>
      <c r="D96" s="2760">
        <v>206527</v>
      </c>
      <c r="E96" s="2804"/>
      <c r="F96" s="2760">
        <v>289774</v>
      </c>
      <c r="G96" s="2804"/>
      <c r="H96" s="2760">
        <v>315253</v>
      </c>
      <c r="I96" s="2804"/>
      <c r="J96" s="2760">
        <v>392122</v>
      </c>
      <c r="K96" s="2804"/>
      <c r="L96" s="2760">
        <v>480551</v>
      </c>
      <c r="M96" s="2696"/>
      <c r="N96" s="2694"/>
      <c r="O96" s="2695"/>
      <c r="P96" s="2694"/>
      <c r="Q96" s="2695"/>
      <c r="R96" s="2488"/>
      <c r="T96" s="3250"/>
      <c r="V96" s="3250"/>
      <c r="X96" s="3250"/>
      <c r="Z96" s="3851"/>
    </row>
    <row r="97" spans="1:27" s="2749" customFormat="1">
      <c r="A97" s="2750" t="s">
        <v>238</v>
      </c>
      <c r="B97" s="2761">
        <f>B96/B83</f>
        <v>1393.8083188359956</v>
      </c>
      <c r="C97" s="2759"/>
      <c r="D97" s="2760">
        <f>D96/D83</f>
        <v>1412.9233084764317</v>
      </c>
      <c r="E97" s="2804"/>
      <c r="F97" s="2760">
        <f>F96/F83</f>
        <v>1946.8825584520289</v>
      </c>
      <c r="G97" s="2804"/>
      <c r="H97" s="2760">
        <f>H96/H83</f>
        <v>1983.7213692423863</v>
      </c>
      <c r="I97" s="2804"/>
      <c r="J97" s="2760">
        <f>J96/J83</f>
        <v>2110.4520990312162</v>
      </c>
      <c r="K97" s="2804"/>
      <c r="L97" s="2760">
        <f>L96/L83</f>
        <v>2439.840576766856</v>
      </c>
      <c r="M97" s="2696"/>
      <c r="N97" s="2694">
        <f>AVERAGE(B97:F97)</f>
        <v>1584.5380619214855</v>
      </c>
      <c r="O97" s="2695"/>
      <c r="P97" s="2694">
        <f>AVERAGE(H97:L97)</f>
        <v>2178.0046816801528</v>
      </c>
      <c r="Q97" s="2695"/>
      <c r="R97" s="3536">
        <f>P97-N97</f>
        <v>593.46661975866732</v>
      </c>
      <c r="T97" s="3250"/>
      <c r="V97" s="3250"/>
      <c r="X97" s="3250"/>
      <c r="Z97" s="3851"/>
    </row>
    <row r="98" spans="1:27" s="2749" customFormat="1">
      <c r="A98" s="2750"/>
      <c r="B98" s="2761"/>
      <c r="C98" s="2759"/>
      <c r="D98" s="2760"/>
      <c r="E98" s="2804"/>
      <c r="F98" s="2760"/>
      <c r="G98" s="2804"/>
      <c r="H98" s="2760"/>
      <c r="I98" s="2804"/>
      <c r="J98" s="2760"/>
      <c r="K98" s="2804"/>
      <c r="L98" s="2760"/>
      <c r="M98" s="2696"/>
      <c r="N98" s="2694"/>
      <c r="O98" s="2695"/>
      <c r="P98" s="2694"/>
      <c r="Q98" s="2695"/>
      <c r="R98" s="3536"/>
      <c r="T98" s="3250"/>
      <c r="V98" s="3250"/>
      <c r="X98" s="3250"/>
      <c r="Z98" s="3851"/>
    </row>
    <row r="99" spans="1:27" s="2749" customFormat="1">
      <c r="A99" s="2769" t="s">
        <v>235</v>
      </c>
      <c r="B99" s="2761">
        <f>B97/24</f>
        <v>58.075346618166485</v>
      </c>
      <c r="C99" s="2759"/>
      <c r="D99" s="2760">
        <f>D97/24</f>
        <v>58.871804519851317</v>
      </c>
      <c r="E99" s="2804"/>
      <c r="F99" s="2760">
        <f>F97/24</f>
        <v>81.120106602167866</v>
      </c>
      <c r="G99" s="2804"/>
      <c r="H99" s="2760">
        <f>H97/24</f>
        <v>82.655057051766093</v>
      </c>
      <c r="I99" s="2804"/>
      <c r="J99" s="2760">
        <f>J97/24</f>
        <v>87.935504126300671</v>
      </c>
      <c r="K99" s="2804"/>
      <c r="L99" s="2760">
        <f>L97/24</f>
        <v>101.66002403195233</v>
      </c>
      <c r="M99" s="2696"/>
      <c r="N99" s="2694">
        <f>AVERAGE(B99:F99)</f>
        <v>66.022419246728546</v>
      </c>
      <c r="O99" s="2695"/>
      <c r="P99" s="2694">
        <f>AVERAGE(H99:L99)</f>
        <v>90.75019507000637</v>
      </c>
      <c r="Q99" s="2695"/>
      <c r="R99" s="3536">
        <f>P99-N99</f>
        <v>24.727775823277824</v>
      </c>
      <c r="T99" s="3250"/>
      <c r="V99" s="3250"/>
      <c r="X99" s="3250"/>
      <c r="Z99" s="3851"/>
    </row>
    <row r="100" spans="1:27" s="2749" customFormat="1">
      <c r="A100" s="2750"/>
      <c r="B100" s="2761"/>
      <c r="C100" s="2759"/>
      <c r="D100" s="2760"/>
      <c r="E100" s="2804"/>
      <c r="F100" s="2760"/>
      <c r="G100" s="2804"/>
      <c r="H100" s="2760"/>
      <c r="I100" s="2804"/>
      <c r="J100" s="2760"/>
      <c r="K100" s="2804"/>
      <c r="L100" s="2760"/>
      <c r="M100" s="2696"/>
      <c r="N100" s="2694"/>
      <c r="O100" s="2695"/>
      <c r="P100" s="2694"/>
      <c r="Q100" s="2695"/>
      <c r="R100" s="2488"/>
      <c r="T100" s="3250"/>
      <c r="V100" s="3250"/>
      <c r="X100" s="3250"/>
      <c r="Z100" s="3851"/>
    </row>
    <row r="101" spans="1:27" s="2765" customFormat="1" ht="13.8" thickBot="1">
      <c r="A101" s="2809" t="s">
        <v>239</v>
      </c>
      <c r="B101" s="2840">
        <f>B97*B83</f>
        <v>176261</v>
      </c>
      <c r="C101" s="2810"/>
      <c r="D101" s="2841">
        <f>D97*D83</f>
        <v>206527</v>
      </c>
      <c r="E101" s="2810"/>
      <c r="F101" s="2840">
        <f>F97*F83</f>
        <v>289774</v>
      </c>
      <c r="G101" s="2810"/>
      <c r="H101" s="2841">
        <f>H97*H83</f>
        <v>315253</v>
      </c>
      <c r="I101" s="2810"/>
      <c r="J101" s="2841">
        <f>J97*J83</f>
        <v>392122</v>
      </c>
      <c r="K101" s="2810"/>
      <c r="L101" s="2841">
        <f>L97*L83</f>
        <v>480551</v>
      </c>
      <c r="M101" s="2834"/>
      <c r="N101" s="2842">
        <f>AVERAGE(B101:F101)</f>
        <v>224187.33333333334</v>
      </c>
      <c r="O101" s="2843"/>
      <c r="P101" s="2842">
        <f>AVERAGE(H101:L101)</f>
        <v>395975.33333333331</v>
      </c>
      <c r="Q101" s="2843"/>
      <c r="R101" s="2844">
        <f>P101-N101</f>
        <v>171787.99999999997</v>
      </c>
      <c r="T101" s="3248" t="s">
        <v>325</v>
      </c>
      <c r="V101" s="3248" t="s">
        <v>324</v>
      </c>
      <c r="W101" s="3170"/>
      <c r="X101" s="3248" t="s">
        <v>494</v>
      </c>
      <c r="Y101" s="3170"/>
      <c r="Z101" s="103"/>
    </row>
    <row r="102" spans="1:27" s="2748" customFormat="1">
      <c r="A102" s="2747"/>
      <c r="B102" s="38"/>
      <c r="C102" s="38"/>
      <c r="D102" s="38"/>
      <c r="E102" s="38"/>
      <c r="F102" s="38"/>
      <c r="G102" s="38"/>
      <c r="H102" s="38"/>
      <c r="I102" s="38"/>
      <c r="J102" s="38"/>
      <c r="K102" s="38"/>
      <c r="L102" s="38"/>
      <c r="M102" s="38"/>
      <c r="N102" s="1629"/>
      <c r="O102" s="1630"/>
      <c r="P102" s="1629"/>
      <c r="Q102" s="1630"/>
      <c r="R102" s="1629"/>
      <c r="T102" s="3249"/>
      <c r="V102" s="3249"/>
      <c r="W102" s="3178"/>
      <c r="X102" s="3249"/>
      <c r="Y102" s="3178"/>
      <c r="Z102" s="3848"/>
    </row>
    <row r="103" spans="1:27" s="2748" customFormat="1">
      <c r="A103" s="1482" t="s">
        <v>240</v>
      </c>
      <c r="B103" s="38"/>
      <c r="C103" s="38"/>
      <c r="D103" s="38"/>
      <c r="E103" s="38"/>
      <c r="F103" s="38"/>
      <c r="G103" s="38"/>
      <c r="H103" s="38"/>
      <c r="I103" s="38"/>
      <c r="J103" s="38"/>
      <c r="K103" s="38"/>
      <c r="L103" s="38"/>
      <c r="M103" s="38"/>
      <c r="N103" s="1629"/>
      <c r="O103" s="1630"/>
      <c r="P103" s="1629"/>
      <c r="Q103" s="1630"/>
      <c r="R103" s="1629"/>
      <c r="T103" s="3249"/>
      <c r="V103" s="3249"/>
      <c r="W103" s="3178"/>
      <c r="X103" s="3249"/>
      <c r="Y103" s="3178"/>
      <c r="Z103" s="3848"/>
    </row>
    <row r="104" spans="1:27">
      <c r="A104" s="4486" t="s">
        <v>241</v>
      </c>
      <c r="B104" s="4486"/>
      <c r="C104" s="4486"/>
      <c r="D104" s="4486"/>
      <c r="E104" s="4486"/>
      <c r="F104" s="4486"/>
      <c r="G104" s="4486"/>
      <c r="H104" s="4486"/>
      <c r="I104" s="4486"/>
      <c r="J104" s="4486"/>
      <c r="K104" s="4486"/>
      <c r="L104" s="4486"/>
      <c r="M104" s="4486"/>
      <c r="N104" s="4486"/>
      <c r="O104" s="4486"/>
      <c r="P104" s="4486"/>
      <c r="Q104" s="4486"/>
      <c r="R104" s="4486"/>
      <c r="S104" s="4486"/>
      <c r="T104" s="3242"/>
      <c r="V104" s="3242"/>
      <c r="X104" s="3242"/>
      <c r="Z104" s="103"/>
    </row>
    <row r="105" spans="1:27">
      <c r="A105" s="4488" t="s">
        <v>242</v>
      </c>
      <c r="B105" s="4488"/>
      <c r="C105" s="4488"/>
      <c r="D105" s="4488"/>
      <c r="E105" s="4488"/>
      <c r="F105" s="4488"/>
      <c r="G105" s="4488"/>
      <c r="H105" s="4488"/>
      <c r="I105" s="4488"/>
      <c r="J105" s="4488"/>
      <c r="K105" s="4488"/>
      <c r="L105" s="4488"/>
      <c r="M105" s="4488"/>
      <c r="N105" s="4488"/>
      <c r="O105" s="4488"/>
      <c r="P105" s="4488"/>
      <c r="Q105" s="4488"/>
      <c r="R105" s="4488"/>
      <c r="S105" s="4488"/>
      <c r="T105" s="3242"/>
      <c r="V105" s="3242"/>
      <c r="X105" s="3242"/>
      <c r="Z105" s="103"/>
    </row>
    <row r="106" spans="1:27" ht="13.8" thickBot="1">
      <c r="T106" s="3242"/>
      <c r="V106" s="3242"/>
      <c r="X106" s="3242"/>
      <c r="Z106" s="103"/>
    </row>
    <row r="107" spans="1:27" s="3029" customFormat="1" ht="30.75" customHeight="1" thickBot="1">
      <c r="A107" s="2988" t="s">
        <v>244</v>
      </c>
      <c r="B107" s="3055" t="s">
        <v>2</v>
      </c>
      <c r="C107" s="3056"/>
      <c r="D107" s="3057" t="s">
        <v>3</v>
      </c>
      <c r="E107" s="3056"/>
      <c r="F107" s="3058" t="s">
        <v>4</v>
      </c>
      <c r="G107" s="3056"/>
      <c r="H107" s="3054" t="s">
        <v>5</v>
      </c>
      <c r="I107" s="3056"/>
      <c r="J107" s="3054" t="s">
        <v>6</v>
      </c>
      <c r="K107" s="3056"/>
      <c r="L107" s="3054" t="s">
        <v>7</v>
      </c>
      <c r="M107" s="3056"/>
      <c r="N107" s="1489" t="s">
        <v>33</v>
      </c>
      <c r="O107" s="1488"/>
      <c r="P107" s="1489" t="s">
        <v>34</v>
      </c>
      <c r="Q107" s="1488"/>
      <c r="R107" s="1486" t="s">
        <v>35</v>
      </c>
      <c r="T107" s="3242"/>
      <c r="V107" s="3242"/>
      <c r="W107" s="3872"/>
      <c r="X107" s="3242"/>
      <c r="Y107" s="3842"/>
      <c r="Z107" s="3242"/>
    </row>
    <row r="108" spans="1:27" s="3028" customFormat="1">
      <c r="A108" s="3059"/>
      <c r="B108" s="65"/>
      <c r="C108" s="45"/>
      <c r="D108" s="66"/>
      <c r="E108" s="45"/>
      <c r="F108" s="66"/>
      <c r="G108" s="45"/>
      <c r="H108" s="66"/>
      <c r="I108" s="45"/>
      <c r="J108" s="66"/>
      <c r="K108" s="45"/>
      <c r="L108" s="66"/>
      <c r="M108" s="45"/>
      <c r="N108" s="1485"/>
      <c r="O108" s="1487"/>
      <c r="P108" s="1485"/>
      <c r="Q108" s="1487"/>
      <c r="R108" s="1484"/>
      <c r="T108" s="3242"/>
      <c r="V108" s="3242"/>
      <c r="W108" s="3170"/>
      <c r="X108" s="3242"/>
      <c r="Y108" s="3170"/>
      <c r="Z108" s="103"/>
    </row>
    <row r="109" spans="1:27" s="3028" customFormat="1">
      <c r="A109" s="3035" t="s">
        <v>252</v>
      </c>
      <c r="B109" s="3046">
        <v>7736611</v>
      </c>
      <c r="C109" s="3065"/>
      <c r="D109" s="3047">
        <v>9319925</v>
      </c>
      <c r="E109" s="3065"/>
      <c r="F109" s="3047">
        <v>12818062</v>
      </c>
      <c r="G109" s="3065"/>
      <c r="H109" s="3047">
        <v>16110321</v>
      </c>
      <c r="I109" s="3065"/>
      <c r="J109" s="3047">
        <v>21240030</v>
      </c>
      <c r="K109" s="3065"/>
      <c r="L109" s="3047">
        <v>31003711</v>
      </c>
      <c r="M109" s="3065"/>
      <c r="N109" s="1631">
        <f>AVERAGE(B109:F109)</f>
        <v>9958199.333333334</v>
      </c>
      <c r="O109" s="1632"/>
      <c r="P109" s="1631">
        <f>AVERAGE(H109:L109)</f>
        <v>22784687.333333332</v>
      </c>
      <c r="Q109" s="1632"/>
      <c r="R109" s="1633">
        <f>P109-N109</f>
        <v>12826487.999999998</v>
      </c>
      <c r="T109" s="3242"/>
      <c r="V109" s="3242"/>
      <c r="W109" s="3170"/>
      <c r="X109" s="3242"/>
      <c r="Y109" s="3170"/>
      <c r="Z109" s="103"/>
    </row>
    <row r="110" spans="1:27" s="3028" customFormat="1">
      <c r="A110" s="3035"/>
      <c r="B110" s="3067"/>
      <c r="C110" s="3068"/>
      <c r="D110" s="3069"/>
      <c r="E110" s="3068"/>
      <c r="F110" s="3069"/>
      <c r="G110" s="3068"/>
      <c r="H110" s="3069"/>
      <c r="I110" s="3068"/>
      <c r="J110" s="3069"/>
      <c r="K110" s="3068"/>
      <c r="L110" s="3069"/>
      <c r="M110" s="3068"/>
      <c r="N110" s="1631"/>
      <c r="O110" s="1632"/>
      <c r="P110" s="1631"/>
      <c r="Q110" s="1632"/>
      <c r="R110" s="1633"/>
      <c r="T110" s="3242"/>
      <c r="V110" s="3242"/>
      <c r="W110" s="3170"/>
      <c r="X110" s="3242"/>
      <c r="Y110" s="3170"/>
      <c r="Z110" s="103"/>
    </row>
    <row r="111" spans="1:27" s="3028" customFormat="1">
      <c r="A111" s="3035" t="s">
        <v>253</v>
      </c>
      <c r="B111" s="3046">
        <v>6295081</v>
      </c>
      <c r="C111" s="3070"/>
      <c r="D111" s="3047">
        <v>7523260</v>
      </c>
      <c r="E111" s="3070"/>
      <c r="F111" s="3047">
        <v>10412012</v>
      </c>
      <c r="G111" s="3070"/>
      <c r="H111" s="3047">
        <v>13476877</v>
      </c>
      <c r="I111" s="3070"/>
      <c r="J111" s="3047">
        <v>17842837</v>
      </c>
      <c r="K111" s="3070"/>
      <c r="L111" s="3047">
        <v>23445640</v>
      </c>
      <c r="M111" s="77"/>
      <c r="N111" s="1631">
        <f t="shared" ref="N111" si="30">AVERAGE(B111:F111)</f>
        <v>8076784.333333333</v>
      </c>
      <c r="O111" s="1632"/>
      <c r="P111" s="1631">
        <f t="shared" ref="P111" si="31">AVERAGE(H111:L111)</f>
        <v>18255118</v>
      </c>
      <c r="Q111" s="1632"/>
      <c r="R111" s="1633">
        <f t="shared" ref="R111" si="32">P111-N111</f>
        <v>10178333.666666668</v>
      </c>
      <c r="T111" s="3242"/>
      <c r="V111" s="3242"/>
      <c r="W111" s="3170"/>
      <c r="X111" s="3242"/>
      <c r="Y111" s="3170"/>
      <c r="Z111" s="103"/>
    </row>
    <row r="112" spans="1:27" s="3028" customFormat="1">
      <c r="A112" s="3035"/>
      <c r="B112" s="1873"/>
      <c r="C112" s="1872"/>
      <c r="D112" s="1874"/>
      <c r="E112" s="1872"/>
      <c r="F112" s="1874"/>
      <c r="G112" s="1872"/>
      <c r="H112" s="1874"/>
      <c r="I112" s="1872"/>
      <c r="J112" s="1874"/>
      <c r="K112" s="1872"/>
      <c r="L112" s="1874"/>
      <c r="M112" s="34"/>
      <c r="N112" s="1631"/>
      <c r="O112" s="1632"/>
      <c r="P112" s="1631"/>
      <c r="Q112" s="1632"/>
      <c r="R112" s="1633"/>
      <c r="T112" s="3242"/>
      <c r="V112" s="3242"/>
      <c r="W112" s="3170"/>
      <c r="X112" s="3242"/>
      <c r="Y112" s="3170"/>
      <c r="Z112" s="3853">
        <f>((('Student Enrollment BRS VIII '!J684/'Student Enrollment BRS VIII '!B684)^(1/5)-1))</f>
        <v>0.10868302003896657</v>
      </c>
      <c r="AA112" s="2749" t="s">
        <v>481</v>
      </c>
    </row>
    <row r="113" spans="1:27" s="3028" customFormat="1" ht="13.8" thickBot="1">
      <c r="A113" s="2796" t="s">
        <v>254</v>
      </c>
      <c r="B113" s="1634">
        <f>B109+B111</f>
        <v>14031692</v>
      </c>
      <c r="C113" s="1635"/>
      <c r="D113" s="1636">
        <f>D109+D111</f>
        <v>16843185</v>
      </c>
      <c r="E113" s="1635"/>
      <c r="F113" s="1636">
        <f>F109+F111</f>
        <v>23230074</v>
      </c>
      <c r="G113" s="1635"/>
      <c r="H113" s="1636">
        <f>H109+H111</f>
        <v>29587198</v>
      </c>
      <c r="I113" s="1635"/>
      <c r="J113" s="1636">
        <f>J109+J111</f>
        <v>39082867</v>
      </c>
      <c r="K113" s="1635"/>
      <c r="L113" s="1636">
        <f>L109+L111</f>
        <v>54449351</v>
      </c>
      <c r="M113" s="27"/>
      <c r="N113" s="1637">
        <f t="shared" ref="N113" si="33">AVERAGE(B113:F113)</f>
        <v>18034983.666666668</v>
      </c>
      <c r="O113" s="1638"/>
      <c r="P113" s="1637">
        <f t="shared" ref="P113" si="34">AVERAGE(H113:L113)</f>
        <v>41039805.333333336</v>
      </c>
      <c r="Q113" s="1638"/>
      <c r="R113" s="3863">
        <f t="shared" ref="R113" si="35">P113-N113</f>
        <v>23004821.666666668</v>
      </c>
      <c r="T113" s="3248" t="s">
        <v>324</v>
      </c>
      <c r="U113" s="3170"/>
      <c r="V113" s="3248" t="s">
        <v>324</v>
      </c>
      <c r="W113" s="3170"/>
      <c r="X113" s="3248" t="s">
        <v>491</v>
      </c>
      <c r="Y113" s="3170"/>
      <c r="Z113" s="3849">
        <f>(((L113/D113)^(1/4)-1))</f>
        <v>0.34088682067872944</v>
      </c>
      <c r="AA113" s="2749" t="s">
        <v>482</v>
      </c>
    </row>
    <row r="114" spans="1:27" s="3060" customFormat="1">
      <c r="A114" s="3048"/>
      <c r="B114" s="38"/>
      <c r="C114" s="38"/>
      <c r="D114" s="38"/>
      <c r="E114" s="38"/>
      <c r="F114" s="38"/>
      <c r="G114" s="38"/>
      <c r="H114" s="38"/>
      <c r="I114" s="38"/>
      <c r="J114" s="38"/>
      <c r="K114" s="38"/>
      <c r="L114" s="38"/>
      <c r="M114" s="38"/>
      <c r="N114" s="1629"/>
      <c r="O114" s="1630"/>
      <c r="P114" s="1629"/>
      <c r="Q114" s="1630"/>
      <c r="R114" s="1629"/>
      <c r="T114" s="3249"/>
      <c r="V114" s="3249"/>
      <c r="W114" s="3178"/>
      <c r="X114" s="3249"/>
      <c r="Y114" s="3178"/>
      <c r="Z114" s="3848"/>
    </row>
    <row r="115" spans="1:27" s="3060" customFormat="1">
      <c r="A115" s="1482" t="s">
        <v>255</v>
      </c>
      <c r="B115" s="38"/>
      <c r="C115" s="38"/>
      <c r="D115" s="38"/>
      <c r="E115" s="38"/>
      <c r="F115" s="38"/>
      <c r="G115" s="38"/>
      <c r="H115" s="38"/>
      <c r="I115" s="38"/>
      <c r="J115" s="38"/>
      <c r="K115" s="38"/>
      <c r="L115" s="38"/>
      <c r="M115" s="38"/>
      <c r="N115" s="1629"/>
      <c r="O115" s="1630"/>
      <c r="P115" s="1629"/>
      <c r="Q115" s="1630"/>
      <c r="R115" s="1629"/>
      <c r="T115" s="3249"/>
      <c r="V115" s="3249"/>
      <c r="W115" s="3178"/>
      <c r="X115" s="3249"/>
      <c r="Y115" s="3178"/>
      <c r="Z115" s="3848"/>
    </row>
    <row r="116" spans="1:27" ht="13.8" thickBot="1">
      <c r="T116" s="3242"/>
      <c r="V116" s="3242"/>
      <c r="X116" s="3242"/>
      <c r="Z116" s="103"/>
    </row>
    <row r="117" spans="1:27" s="3169" customFormat="1" ht="30" customHeight="1" thickBot="1">
      <c r="A117" s="3076" t="s">
        <v>256</v>
      </c>
      <c r="B117" s="3172" t="s">
        <v>2</v>
      </c>
      <c r="C117" s="3173"/>
      <c r="D117" s="3174" t="s">
        <v>3</v>
      </c>
      <c r="E117" s="3173"/>
      <c r="F117" s="3175" t="s">
        <v>4</v>
      </c>
      <c r="G117" s="3173"/>
      <c r="H117" s="3176" t="s">
        <v>5</v>
      </c>
      <c r="I117" s="3173"/>
      <c r="J117" s="3176" t="s">
        <v>6</v>
      </c>
      <c r="K117" s="3173"/>
      <c r="L117" s="3176" t="s">
        <v>7</v>
      </c>
      <c r="M117" s="3173"/>
      <c r="N117" s="1489" t="s">
        <v>33</v>
      </c>
      <c r="O117" s="1488"/>
      <c r="P117" s="1489" t="s">
        <v>34</v>
      </c>
      <c r="Q117" s="1488"/>
      <c r="R117" s="1486" t="s">
        <v>35</v>
      </c>
      <c r="T117" s="3242"/>
      <c r="V117" s="3242"/>
      <c r="W117" s="3872"/>
      <c r="X117" s="3242"/>
      <c r="Y117" s="3842"/>
      <c r="Z117" s="3242"/>
    </row>
    <row r="118" spans="1:27" s="3170" customFormat="1">
      <c r="A118" s="3059"/>
      <c r="B118" s="65"/>
      <c r="C118" s="45"/>
      <c r="D118" s="66"/>
      <c r="E118" s="45"/>
      <c r="F118" s="66"/>
      <c r="G118" s="45"/>
      <c r="H118" s="66"/>
      <c r="I118" s="45"/>
      <c r="J118" s="66"/>
      <c r="K118" s="45"/>
      <c r="L118" s="66"/>
      <c r="M118" s="45"/>
      <c r="N118" s="1485"/>
      <c r="O118" s="1487"/>
      <c r="P118" s="1485"/>
      <c r="Q118" s="1487"/>
      <c r="R118" s="1484"/>
      <c r="T118" s="3242"/>
      <c r="V118" s="3242"/>
      <c r="X118" s="3242"/>
      <c r="Z118" s="103"/>
    </row>
    <row r="119" spans="1:27" s="3170" customFormat="1">
      <c r="A119" s="3171" t="s">
        <v>261</v>
      </c>
      <c r="B119" s="3067">
        <v>0</v>
      </c>
      <c r="C119" s="3065"/>
      <c r="D119" s="3069">
        <v>0</v>
      </c>
      <c r="E119" s="3065"/>
      <c r="F119" s="3069">
        <v>3515</v>
      </c>
      <c r="G119" s="3065"/>
      <c r="H119" s="3069">
        <v>7518</v>
      </c>
      <c r="I119" s="3065"/>
      <c r="J119" s="3069">
        <v>14117</v>
      </c>
      <c r="K119" s="3065"/>
      <c r="L119" s="3069">
        <v>16761</v>
      </c>
      <c r="M119" s="3065"/>
      <c r="N119" s="2276">
        <f>AVERAGE(B119:F119)</f>
        <v>1171.6666666666667</v>
      </c>
      <c r="O119" s="1943"/>
      <c r="P119" s="2276">
        <f>AVERAGE(H119:L119)</f>
        <v>12798.666666666666</v>
      </c>
      <c r="Q119" s="1943"/>
      <c r="R119" s="2277">
        <f>P119-N119</f>
        <v>11627</v>
      </c>
      <c r="T119" s="3242"/>
      <c r="V119" s="3242"/>
      <c r="X119" s="3242"/>
      <c r="Z119" s="103"/>
    </row>
    <row r="120" spans="1:27" s="3170" customFormat="1">
      <c r="A120" s="3171"/>
      <c r="B120" s="3067"/>
      <c r="C120" s="3068"/>
      <c r="D120" s="3069"/>
      <c r="E120" s="3068"/>
      <c r="F120" s="3069"/>
      <c r="G120" s="3068"/>
      <c r="H120" s="3069"/>
      <c r="I120" s="3068"/>
      <c r="J120" s="3069"/>
      <c r="K120" s="3068"/>
      <c r="L120" s="3069"/>
      <c r="M120" s="3068"/>
      <c r="N120" s="1631"/>
      <c r="O120" s="1632"/>
      <c r="P120" s="1631"/>
      <c r="Q120" s="1632"/>
      <c r="R120" s="1633"/>
      <c r="T120" s="3242"/>
      <c r="V120" s="3242"/>
      <c r="X120" s="3242"/>
      <c r="Z120" s="103"/>
    </row>
    <row r="121" spans="1:27" s="3170" customFormat="1">
      <c r="A121" s="3734" t="s">
        <v>438</v>
      </c>
      <c r="B121" s="3046"/>
      <c r="C121" s="3070"/>
      <c r="D121" s="3047"/>
      <c r="E121" s="3070"/>
      <c r="F121" s="3047">
        <f>204-11</f>
        <v>193</v>
      </c>
      <c r="G121" s="3070"/>
      <c r="H121" s="3047">
        <f>214-9</f>
        <v>205</v>
      </c>
      <c r="I121" s="3070"/>
      <c r="J121" s="3047">
        <f>225-10</f>
        <v>215</v>
      </c>
      <c r="K121" s="3070"/>
      <c r="L121" s="3047">
        <f>236-9</f>
        <v>227</v>
      </c>
      <c r="M121" s="77"/>
      <c r="N121" s="1631">
        <f t="shared" ref="N121" si="36">AVERAGE(B121:F121)</f>
        <v>193</v>
      </c>
      <c r="O121" s="1632"/>
      <c r="P121" s="1631">
        <f t="shared" ref="P121" si="37">AVERAGE(H121:L121)</f>
        <v>215.66666666666666</v>
      </c>
      <c r="Q121" s="1632"/>
      <c r="R121" s="1633">
        <f t="shared" ref="R121" si="38">P121-N121</f>
        <v>22.666666666666657</v>
      </c>
      <c r="T121" s="3242"/>
      <c r="V121" s="3242"/>
      <c r="X121" s="3242"/>
      <c r="Z121" s="103"/>
    </row>
    <row r="122" spans="1:27" s="3170" customFormat="1">
      <c r="A122" s="3171"/>
      <c r="B122" s="1873"/>
      <c r="C122" s="1872"/>
      <c r="D122" s="1874"/>
      <c r="E122" s="1872"/>
      <c r="F122" s="1874"/>
      <c r="G122" s="1872"/>
      <c r="H122" s="1874"/>
      <c r="I122" s="1872"/>
      <c r="J122" s="1874"/>
      <c r="K122" s="1872"/>
      <c r="L122" s="1874"/>
      <c r="M122" s="34"/>
      <c r="N122" s="1631"/>
      <c r="O122" s="1632"/>
      <c r="P122" s="1631"/>
      <c r="Q122" s="1632"/>
      <c r="R122" s="1633"/>
      <c r="T122" s="3242"/>
      <c r="V122" s="3242"/>
      <c r="X122" s="3242"/>
      <c r="Z122" s="3853">
        <f>((('Student Enrollment BRS VIII '!J720/'Student Enrollment BRS VIII '!D720)^(1/5)-1))</f>
        <v>5.7996507090645411E-2</v>
      </c>
      <c r="AA122" s="2749" t="s">
        <v>483</v>
      </c>
    </row>
    <row r="123" spans="1:27" s="3170" customFormat="1" ht="13.8" thickBot="1">
      <c r="A123" s="2796" t="s">
        <v>439</v>
      </c>
      <c r="B123" s="1634">
        <f>B119+B121</f>
        <v>0</v>
      </c>
      <c r="C123" s="1635"/>
      <c r="D123" s="1636">
        <f>D119+D121</f>
        <v>0</v>
      </c>
      <c r="E123" s="1635"/>
      <c r="F123" s="1636">
        <f>F119*F121</f>
        <v>678395</v>
      </c>
      <c r="G123" s="1635"/>
      <c r="H123" s="1636">
        <f>H119*H121</f>
        <v>1541190</v>
      </c>
      <c r="I123" s="1635"/>
      <c r="J123" s="1636">
        <f>J119*J121</f>
        <v>3035155</v>
      </c>
      <c r="K123" s="1635"/>
      <c r="L123" s="1636">
        <f>L119*L121</f>
        <v>3804747</v>
      </c>
      <c r="M123" s="27"/>
      <c r="N123" s="1637">
        <f t="shared" ref="N123" si="39">AVERAGE(B123:F123)</f>
        <v>226131.66666666666</v>
      </c>
      <c r="O123" s="1638"/>
      <c r="P123" s="1637">
        <f t="shared" ref="P123" si="40">AVERAGE(H123:L123)</f>
        <v>2793697.3333333335</v>
      </c>
      <c r="Q123" s="1638"/>
      <c r="R123" s="3863">
        <f t="shared" ref="R123" si="41">P123-N123</f>
        <v>2567565.666666667</v>
      </c>
      <c r="T123" s="3248" t="s">
        <v>325</v>
      </c>
      <c r="V123" s="3248" t="s">
        <v>324</v>
      </c>
      <c r="X123" s="3248" t="s">
        <v>494</v>
      </c>
      <c r="Z123" s="3849">
        <f>(((L123/F123)^(1/3)-1))</f>
        <v>0.77670114258419809</v>
      </c>
      <c r="AA123" s="2749" t="s">
        <v>475</v>
      </c>
    </row>
    <row r="124" spans="1:27" s="3178" customFormat="1">
      <c r="A124" s="3177"/>
      <c r="B124" s="38"/>
      <c r="C124" s="38"/>
      <c r="D124" s="38"/>
      <c r="E124" s="38"/>
      <c r="F124" s="38"/>
      <c r="G124" s="38"/>
      <c r="H124" s="3843"/>
      <c r="I124" s="38"/>
      <c r="J124" s="3843"/>
      <c r="K124" s="38"/>
      <c r="L124" s="3843"/>
      <c r="M124" s="38"/>
      <c r="N124" s="1629"/>
      <c r="O124" s="1630"/>
      <c r="P124" s="1629"/>
      <c r="Q124" s="1630"/>
      <c r="R124" s="1629"/>
      <c r="T124" s="3249"/>
      <c r="V124" s="3249"/>
      <c r="X124" s="3249"/>
      <c r="Z124" s="3848"/>
    </row>
    <row r="125" spans="1:27" s="3178" customFormat="1">
      <c r="A125" s="1482" t="s">
        <v>260</v>
      </c>
      <c r="B125" s="38"/>
      <c r="C125" s="38"/>
      <c r="D125" s="38"/>
      <c r="E125" s="38"/>
      <c r="F125" s="38"/>
      <c r="G125" s="38"/>
      <c r="H125" s="38"/>
      <c r="I125" s="38"/>
      <c r="J125" s="38"/>
      <c r="K125" s="38"/>
      <c r="L125" s="38"/>
      <c r="M125" s="38"/>
      <c r="N125" s="1629"/>
      <c r="O125" s="1630"/>
      <c r="P125" s="1629"/>
      <c r="Q125" s="1630"/>
      <c r="R125" s="1629"/>
      <c r="T125" s="3249"/>
      <c r="V125" s="3249"/>
      <c r="X125" s="3249"/>
      <c r="Z125" s="3848"/>
    </row>
    <row r="126" spans="1:27" ht="13.8" thickBot="1">
      <c r="T126" s="3242"/>
      <c r="V126" s="3242"/>
      <c r="X126" s="3242"/>
      <c r="Z126" s="103"/>
    </row>
    <row r="127" spans="1:27" s="3767" customFormat="1" ht="30" customHeight="1" thickBot="1">
      <c r="A127" s="3076" t="s">
        <v>224</v>
      </c>
      <c r="B127" s="3172" t="s">
        <v>3</v>
      </c>
      <c r="C127" s="3173"/>
      <c r="D127" s="3174" t="s">
        <v>4</v>
      </c>
      <c r="E127" s="3173"/>
      <c r="F127" s="3175" t="s">
        <v>5</v>
      </c>
      <c r="G127" s="3173"/>
      <c r="H127" s="3176" t="s">
        <v>6</v>
      </c>
      <c r="I127" s="3173"/>
      <c r="J127" s="3176" t="s">
        <v>7</v>
      </c>
      <c r="K127" s="3173"/>
      <c r="L127" s="3176" t="s">
        <v>8</v>
      </c>
      <c r="M127" s="3173"/>
      <c r="N127" s="1489" t="s">
        <v>447</v>
      </c>
      <c r="O127" s="1488"/>
      <c r="P127" s="1489" t="s">
        <v>34</v>
      </c>
      <c r="Q127" s="1488"/>
      <c r="R127" s="1486" t="s">
        <v>35</v>
      </c>
      <c r="T127" s="3242"/>
      <c r="V127" s="3242"/>
      <c r="W127" s="3872"/>
      <c r="X127" s="3242"/>
      <c r="Y127" s="3842"/>
      <c r="Z127" s="103"/>
    </row>
    <row r="128" spans="1:27" s="3170" customFormat="1">
      <c r="A128" s="3059"/>
      <c r="B128" s="65"/>
      <c r="C128" s="45"/>
      <c r="D128" s="66"/>
      <c r="E128" s="45"/>
      <c r="F128" s="66"/>
      <c r="G128" s="45"/>
      <c r="H128" s="66"/>
      <c r="I128" s="45"/>
      <c r="J128" s="66"/>
      <c r="K128" s="45"/>
      <c r="L128" s="66"/>
      <c r="M128" s="45"/>
      <c r="N128" s="1485"/>
      <c r="O128" s="1487"/>
      <c r="P128" s="1485"/>
      <c r="Q128" s="1487"/>
      <c r="R128" s="1484"/>
      <c r="T128" s="3242"/>
      <c r="V128" s="3242"/>
      <c r="X128" s="3242"/>
      <c r="Z128" s="103"/>
    </row>
    <row r="129" spans="1:27" s="3170" customFormat="1">
      <c r="A129" s="3179" t="s">
        <v>448</v>
      </c>
      <c r="B129" s="3802"/>
      <c r="C129" s="25"/>
      <c r="D129" s="3803"/>
      <c r="E129" s="25"/>
      <c r="F129" s="3803"/>
      <c r="G129" s="25"/>
      <c r="H129" s="3803"/>
      <c r="I129" s="25"/>
      <c r="J129" s="3803"/>
      <c r="K129" s="25"/>
      <c r="L129" s="3803"/>
      <c r="M129" s="25"/>
      <c r="N129" s="3804"/>
      <c r="O129" s="3805"/>
      <c r="P129" s="3804"/>
      <c r="Q129" s="3805"/>
      <c r="R129" s="3806"/>
      <c r="T129" s="3242"/>
      <c r="V129" s="3242"/>
      <c r="X129" s="3242"/>
      <c r="Z129" s="103"/>
    </row>
    <row r="130" spans="1:27" s="2749" customFormat="1">
      <c r="A130" s="3734" t="s">
        <v>276</v>
      </c>
      <c r="B130" s="3807"/>
      <c r="C130" s="2696"/>
      <c r="D130" s="3808"/>
      <c r="E130" s="2696"/>
      <c r="F130" s="3808"/>
      <c r="G130" s="2696"/>
      <c r="H130" s="3809">
        <v>10274</v>
      </c>
      <c r="I130" s="3810"/>
      <c r="J130" s="3809">
        <v>8155</v>
      </c>
      <c r="K130" s="3810"/>
      <c r="L130" s="3809">
        <v>9420</v>
      </c>
      <c r="M130" s="3810"/>
      <c r="N130" s="3811">
        <f>AVERAGE(H130:L130)</f>
        <v>9283</v>
      </c>
      <c r="O130" s="2695"/>
      <c r="P130" s="2694"/>
      <c r="Q130" s="2695"/>
      <c r="R130" s="2488"/>
      <c r="T130" s="3250"/>
      <c r="V130" s="3250"/>
      <c r="X130" s="3250"/>
      <c r="Z130" s="3853">
        <f>(L130-H130)/H130</f>
        <v>-8.3122445006813317E-2</v>
      </c>
      <c r="AA130" s="2749" t="s">
        <v>476</v>
      </c>
    </row>
    <row r="131" spans="1:27" s="2749" customFormat="1">
      <c r="A131" s="3734" t="s">
        <v>449</v>
      </c>
      <c r="B131" s="3807"/>
      <c r="C131" s="2696"/>
      <c r="D131" s="3808"/>
      <c r="E131" s="2696"/>
      <c r="F131" s="3808"/>
      <c r="G131" s="2696"/>
      <c r="H131" s="3809">
        <v>9585</v>
      </c>
      <c r="I131" s="3810"/>
      <c r="J131" s="3809">
        <v>10133</v>
      </c>
      <c r="K131" s="3810"/>
      <c r="L131" s="3809">
        <v>10750</v>
      </c>
      <c r="M131" s="3810"/>
      <c r="N131" s="3811">
        <f>AVERAGE(H131:L131)</f>
        <v>10156</v>
      </c>
      <c r="O131" s="2695"/>
      <c r="P131" s="2694"/>
      <c r="Q131" s="2695"/>
      <c r="R131" s="2488"/>
      <c r="T131" s="3250"/>
      <c r="V131" s="3250"/>
      <c r="X131" s="3250"/>
      <c r="Z131" s="3853">
        <f>(L131-H131)/H131</f>
        <v>0.12154407929055816</v>
      </c>
      <c r="AA131" s="2749" t="s">
        <v>476</v>
      </c>
    </row>
    <row r="132" spans="1:27" s="3170" customFormat="1">
      <c r="A132" s="3179" t="s">
        <v>450</v>
      </c>
      <c r="B132" s="123"/>
      <c r="C132" s="3065"/>
      <c r="D132" s="1869"/>
      <c r="E132" s="3065"/>
      <c r="F132" s="1869"/>
      <c r="G132" s="3065"/>
      <c r="H132" s="3812">
        <f>H130/H131-1</f>
        <v>7.1883150756390179E-2</v>
      </c>
      <c r="I132" s="3065"/>
      <c r="J132" s="3812">
        <f>J130/J131-1</f>
        <v>-0.19520378959834206</v>
      </c>
      <c r="K132" s="3065"/>
      <c r="L132" s="3812">
        <f>L130/L131-1</f>
        <v>-0.12372093023255815</v>
      </c>
      <c r="M132" s="3065"/>
      <c r="N132" s="3869">
        <f>(N130/N131)-1</f>
        <v>-8.5959038991729075E-2</v>
      </c>
      <c r="O132" s="963"/>
      <c r="P132" s="962"/>
      <c r="Q132" s="963"/>
      <c r="R132" s="964"/>
      <c r="T132" s="3242"/>
      <c r="V132" s="3242"/>
      <c r="X132" s="3242"/>
      <c r="Z132" s="103"/>
    </row>
    <row r="133" spans="1:27" s="3170" customFormat="1">
      <c r="A133" s="3179"/>
      <c r="B133" s="123"/>
      <c r="C133" s="3065"/>
      <c r="D133" s="1869"/>
      <c r="E133" s="3065"/>
      <c r="F133" s="1869"/>
      <c r="G133" s="3065"/>
      <c r="H133" s="3812"/>
      <c r="I133" s="3065"/>
      <c r="J133" s="3812"/>
      <c r="K133" s="3065"/>
      <c r="L133" s="3812"/>
      <c r="M133" s="3065"/>
      <c r="N133" s="3813"/>
      <c r="O133" s="963"/>
      <c r="P133" s="962"/>
      <c r="Q133" s="963"/>
      <c r="R133" s="964"/>
      <c r="T133" s="3242"/>
      <c r="V133" s="3242"/>
      <c r="X133" s="3242"/>
      <c r="Z133" s="103"/>
    </row>
    <row r="134" spans="1:27" s="3170" customFormat="1">
      <c r="A134" s="3179" t="s">
        <v>451</v>
      </c>
      <c r="B134" s="123"/>
      <c r="C134" s="3065"/>
      <c r="D134" s="1869"/>
      <c r="E134" s="3065"/>
      <c r="F134" s="1869"/>
      <c r="G134" s="3065"/>
      <c r="H134" s="3812"/>
      <c r="I134" s="3065"/>
      <c r="J134" s="3812"/>
      <c r="K134" s="3065"/>
      <c r="L134" s="3812"/>
      <c r="M134" s="3065"/>
      <c r="N134" s="3813"/>
      <c r="O134" s="963"/>
      <c r="P134" s="962"/>
      <c r="Q134" s="963"/>
      <c r="R134" s="964"/>
      <c r="T134" s="3242"/>
      <c r="V134" s="3242"/>
      <c r="X134" s="3242"/>
      <c r="Z134" s="103"/>
    </row>
    <row r="135" spans="1:27" s="2749" customFormat="1">
      <c r="A135" s="3734" t="s">
        <v>452</v>
      </c>
      <c r="B135" s="3067"/>
      <c r="C135" s="3084"/>
      <c r="D135" s="3069"/>
      <c r="E135" s="3084"/>
      <c r="F135" s="3814">
        <v>1.79</v>
      </c>
      <c r="G135" s="3815"/>
      <c r="H135" s="3816">
        <v>1.83</v>
      </c>
      <c r="I135" s="3815"/>
      <c r="J135" s="3816">
        <v>1.87</v>
      </c>
      <c r="K135" s="3815"/>
      <c r="L135" s="3816"/>
      <c r="M135" s="3815"/>
      <c r="N135" s="3817">
        <f>AVERAGE(F135:J135)</f>
        <v>1.83</v>
      </c>
      <c r="O135" s="1943"/>
      <c r="P135" s="2276"/>
      <c r="Q135" s="1943"/>
      <c r="R135" s="2277"/>
      <c r="T135" s="3250"/>
      <c r="V135" s="3250"/>
      <c r="X135" s="3250"/>
      <c r="Z135" s="3853">
        <f>(J135-F135)/F135</f>
        <v>4.4692737430167634E-2</v>
      </c>
      <c r="AA135" s="2749" t="s">
        <v>477</v>
      </c>
    </row>
    <row r="136" spans="1:27" s="2749" customFormat="1">
      <c r="A136" s="3734" t="s">
        <v>453</v>
      </c>
      <c r="B136" s="3067"/>
      <c r="C136" s="3084"/>
      <c r="D136" s="3069"/>
      <c r="E136" s="3084"/>
      <c r="F136" s="3814">
        <v>2.58</v>
      </c>
      <c r="G136" s="3815"/>
      <c r="H136" s="3816">
        <v>2.65</v>
      </c>
      <c r="I136" s="3815"/>
      <c r="J136" s="3816">
        <v>2.74</v>
      </c>
      <c r="K136" s="3815"/>
      <c r="L136" s="3816"/>
      <c r="M136" s="3815"/>
      <c r="N136" s="3817">
        <f>AVERAGE(F136:J136)</f>
        <v>2.6566666666666667</v>
      </c>
      <c r="O136" s="1943"/>
      <c r="P136" s="2276"/>
      <c r="Q136" s="1943"/>
      <c r="R136" s="2277"/>
      <c r="T136" s="3250"/>
      <c r="V136" s="3250"/>
      <c r="X136" s="3250"/>
      <c r="Z136" s="3853">
        <f>(J136-F136)/F136</f>
        <v>6.2015503875969047E-2</v>
      </c>
      <c r="AA136" s="2749" t="s">
        <v>477</v>
      </c>
    </row>
    <row r="137" spans="1:27" s="3170" customFormat="1">
      <c r="A137" s="3179" t="s">
        <v>454</v>
      </c>
      <c r="B137" s="123"/>
      <c r="C137" s="3065"/>
      <c r="D137" s="1869"/>
      <c r="E137" s="3065"/>
      <c r="F137" s="3812">
        <f>F135/F136-1</f>
        <v>-0.30620155038759689</v>
      </c>
      <c r="G137" s="3065"/>
      <c r="H137" s="3812">
        <f>H135/H136-1</f>
        <v>-0.30943396226415087</v>
      </c>
      <c r="I137" s="3065"/>
      <c r="J137" s="3812">
        <f>J135/J136-1</f>
        <v>-0.31751824817518248</v>
      </c>
      <c r="K137" s="3065"/>
      <c r="L137" s="3812"/>
      <c r="M137" s="3065"/>
      <c r="N137" s="3869">
        <f>(N135/N136)-1</f>
        <v>-0.31116687578419067</v>
      </c>
      <c r="O137" s="963"/>
      <c r="P137" s="962"/>
      <c r="Q137" s="963"/>
      <c r="R137" s="964"/>
      <c r="T137" s="3242"/>
      <c r="V137" s="3242"/>
      <c r="X137" s="3242"/>
      <c r="Z137" s="103"/>
    </row>
    <row r="138" spans="1:27" s="3170" customFormat="1">
      <c r="A138" s="3179"/>
      <c r="B138" s="123"/>
      <c r="C138" s="3065"/>
      <c r="D138" s="1869"/>
      <c r="E138" s="3065"/>
      <c r="F138" s="1869"/>
      <c r="G138" s="3065"/>
      <c r="H138" s="3812"/>
      <c r="I138" s="3065"/>
      <c r="J138" s="3812"/>
      <c r="K138" s="3065"/>
      <c r="L138" s="3812"/>
      <c r="M138" s="3065"/>
      <c r="N138" s="3813"/>
      <c r="O138" s="963"/>
      <c r="P138" s="962"/>
      <c r="Q138" s="963"/>
      <c r="R138" s="964"/>
      <c r="T138" s="3242"/>
      <c r="V138" s="3242"/>
      <c r="X138" s="3242"/>
      <c r="Z138" s="103"/>
    </row>
    <row r="139" spans="1:27" s="3170" customFormat="1">
      <c r="A139" s="3179" t="s">
        <v>455</v>
      </c>
      <c r="B139" s="123"/>
      <c r="C139" s="3065"/>
      <c r="D139" s="1869"/>
      <c r="E139" s="3065"/>
      <c r="F139" s="1869"/>
      <c r="G139" s="3065"/>
      <c r="H139" s="3812"/>
      <c r="I139" s="3065"/>
      <c r="J139" s="3812"/>
      <c r="K139" s="3065"/>
      <c r="L139" s="3812"/>
      <c r="M139" s="3065"/>
      <c r="N139" s="3813"/>
      <c r="O139" s="963"/>
      <c r="P139" s="962"/>
      <c r="Q139" s="963"/>
      <c r="R139" s="964"/>
      <c r="T139" s="3242"/>
      <c r="V139" s="3242"/>
      <c r="X139" s="3242"/>
      <c r="Z139" s="103"/>
    </row>
    <row r="140" spans="1:27" s="2749" customFormat="1">
      <c r="A140" s="3734" t="s">
        <v>456</v>
      </c>
      <c r="B140" s="3067"/>
      <c r="C140" s="3084"/>
      <c r="D140" s="3069"/>
      <c r="E140" s="3084"/>
      <c r="F140" s="3818">
        <v>3.6</v>
      </c>
      <c r="G140" s="3819"/>
      <c r="H140" s="3820">
        <v>3.34</v>
      </c>
      <c r="I140" s="3819"/>
      <c r="J140" s="3820">
        <v>3.5</v>
      </c>
      <c r="K140" s="3819"/>
      <c r="L140" s="3820"/>
      <c r="M140" s="3819"/>
      <c r="N140" s="3821">
        <f>AVERAGE(F140:J140)</f>
        <v>3.48</v>
      </c>
      <c r="O140" s="1943"/>
      <c r="P140" s="2276"/>
      <c r="Q140" s="1943"/>
      <c r="R140" s="2277"/>
      <c r="T140" s="3250"/>
      <c r="V140" s="3250"/>
      <c r="X140" s="3250"/>
      <c r="Z140" s="3853">
        <f>(J140-F140)/F140</f>
        <v>-2.7777777777777801E-2</v>
      </c>
      <c r="AA140" s="2749" t="s">
        <v>477</v>
      </c>
    </row>
    <row r="141" spans="1:27" s="2749" customFormat="1">
      <c r="A141" s="3734" t="s">
        <v>457</v>
      </c>
      <c r="B141" s="3067"/>
      <c r="C141" s="3084"/>
      <c r="D141" s="3069"/>
      <c r="E141" s="3084"/>
      <c r="F141" s="3818">
        <v>5.0199999999999996</v>
      </c>
      <c r="G141" s="3819"/>
      <c r="H141" s="3820">
        <v>4.91</v>
      </c>
      <c r="I141" s="3819"/>
      <c r="J141" s="3820">
        <v>4.95</v>
      </c>
      <c r="K141" s="3819"/>
      <c r="L141" s="3820"/>
      <c r="M141" s="3819"/>
      <c r="N141" s="3821">
        <f>AVERAGE(F141:J141)</f>
        <v>4.96</v>
      </c>
      <c r="O141" s="1943"/>
      <c r="P141" s="2276"/>
      <c r="Q141" s="1943"/>
      <c r="R141" s="2277"/>
      <c r="T141" s="3250"/>
      <c r="V141" s="3250"/>
      <c r="X141" s="3250"/>
      <c r="Z141" s="3853">
        <f>(J141-F141)/F141</f>
        <v>-1.3944223107569601E-2</v>
      </c>
      <c r="AA141" s="2749" t="s">
        <v>477</v>
      </c>
    </row>
    <row r="142" spans="1:27" s="3170" customFormat="1">
      <c r="A142" s="3179" t="s">
        <v>458</v>
      </c>
      <c r="B142" s="123"/>
      <c r="C142" s="3065"/>
      <c r="D142" s="1869"/>
      <c r="E142" s="3065"/>
      <c r="F142" s="3812">
        <f>F140/F141-1</f>
        <v>-0.28286852589641431</v>
      </c>
      <c r="G142" s="3065"/>
      <c r="H142" s="3812">
        <f>H140/H141-1</f>
        <v>-0.31975560081466403</v>
      </c>
      <c r="I142" s="3065"/>
      <c r="J142" s="3812">
        <f>J140/J141-1</f>
        <v>-0.29292929292929293</v>
      </c>
      <c r="K142" s="3065"/>
      <c r="L142" s="3812"/>
      <c r="M142" s="3065"/>
      <c r="N142" s="3869">
        <f>(N140/N141)-1</f>
        <v>-0.29838709677419351</v>
      </c>
      <c r="O142" s="963"/>
      <c r="P142" s="962"/>
      <c r="Q142" s="963"/>
      <c r="R142" s="964"/>
      <c r="T142" s="3242"/>
      <c r="V142" s="3242"/>
      <c r="X142" s="3242"/>
      <c r="Z142" s="103"/>
    </row>
    <row r="143" spans="1:27" s="3170" customFormat="1" ht="6.75" customHeight="1">
      <c r="A143" s="3822"/>
      <c r="B143" s="126"/>
      <c r="C143" s="3068"/>
      <c r="D143" s="3068"/>
      <c r="E143" s="3068"/>
      <c r="F143" s="3068"/>
      <c r="G143" s="3068"/>
      <c r="H143" s="3068"/>
      <c r="I143" s="3068"/>
      <c r="J143" s="3068"/>
      <c r="K143" s="3068"/>
      <c r="L143" s="3068"/>
      <c r="M143" s="3068"/>
      <c r="N143" s="1632"/>
      <c r="O143" s="1632"/>
      <c r="P143" s="1632"/>
      <c r="Q143" s="1632"/>
      <c r="R143" s="3823"/>
      <c r="T143" s="3242"/>
      <c r="V143" s="3242"/>
      <c r="X143" s="3242"/>
      <c r="Z143" s="103"/>
    </row>
    <row r="144" spans="1:27" s="3170" customFormat="1">
      <c r="A144" s="3179" t="s">
        <v>459</v>
      </c>
      <c r="B144" s="3824" t="s">
        <v>460</v>
      </c>
      <c r="C144" s="3825"/>
      <c r="D144" s="3826" t="s">
        <v>461</v>
      </c>
      <c r="E144" s="3825"/>
      <c r="F144" s="3826" t="s">
        <v>462</v>
      </c>
      <c r="G144" s="3825"/>
      <c r="H144" s="3826" t="s">
        <v>463</v>
      </c>
      <c r="I144" s="3825"/>
      <c r="J144" s="4487" t="s">
        <v>464</v>
      </c>
      <c r="K144" s="4487"/>
      <c r="L144" s="4487"/>
      <c r="M144" s="124"/>
      <c r="N144" s="3827"/>
      <c r="O144" s="3828"/>
      <c r="P144" s="3827"/>
      <c r="Q144" s="3828"/>
      <c r="R144" s="3829"/>
      <c r="T144" s="3242"/>
      <c r="V144" s="3242"/>
      <c r="X144" s="3242"/>
      <c r="Z144" s="103"/>
    </row>
    <row r="145" spans="1:26" s="3170" customFormat="1">
      <c r="A145" s="3734" t="s">
        <v>465</v>
      </c>
      <c r="B145" s="3830">
        <f>N132</f>
        <v>-8.5959038991729075E-2</v>
      </c>
      <c r="C145" s="3068"/>
      <c r="D145" s="3831">
        <v>35555143</v>
      </c>
      <c r="E145" s="3068"/>
      <c r="F145" s="3832">
        <f>D145/$D$148</f>
        <v>0.43204245044548922</v>
      </c>
      <c r="G145" s="3068"/>
      <c r="H145" s="3832">
        <v>0.11</v>
      </c>
      <c r="I145" s="3068"/>
      <c r="J145" s="3069"/>
      <c r="K145" s="1362"/>
      <c r="L145" s="3833">
        <f>B145*F145</f>
        <v>-3.7137953843925986E-2</v>
      </c>
      <c r="M145" s="3068"/>
      <c r="N145" s="1631"/>
      <c r="O145" s="1632"/>
      <c r="P145" s="1631"/>
      <c r="Q145" s="1632"/>
      <c r="R145" s="1633"/>
      <c r="T145" s="3242"/>
      <c r="V145" s="3242"/>
      <c r="X145" s="3242"/>
      <c r="Z145" s="103"/>
    </row>
    <row r="146" spans="1:26" s="3170" customFormat="1">
      <c r="A146" s="3734" t="s">
        <v>466</v>
      </c>
      <c r="B146" s="3830">
        <f>N137</f>
        <v>-0.31116687578419067</v>
      </c>
      <c r="C146" s="3068"/>
      <c r="D146" s="3831">
        <v>12057055</v>
      </c>
      <c r="E146" s="3068"/>
      <c r="F146" s="3832">
        <f t="shared" ref="F146:F147" si="42">D146/$D$148</f>
        <v>0.14650931336026515</v>
      </c>
      <c r="G146" s="3068"/>
      <c r="H146" s="3832">
        <v>0.04</v>
      </c>
      <c r="I146" s="3068"/>
      <c r="J146" s="3069"/>
      <c r="K146" s="1362"/>
      <c r="L146" s="3833">
        <f t="shared" ref="L146:L147" si="43">B146*F146</f>
        <v>-4.5588845311600693E-2</v>
      </c>
      <c r="M146" s="3068"/>
      <c r="N146" s="1631"/>
      <c r="O146" s="1632"/>
      <c r="P146" s="1631"/>
      <c r="Q146" s="1632"/>
      <c r="R146" s="1633"/>
      <c r="T146" s="3242"/>
      <c r="V146" s="3242"/>
      <c r="X146" s="3242"/>
      <c r="Z146" s="103"/>
    </row>
    <row r="147" spans="1:26" s="3170" customFormat="1">
      <c r="A147" s="3734" t="s">
        <v>467</v>
      </c>
      <c r="B147" s="3830">
        <f>N142</f>
        <v>-0.29838709677419351</v>
      </c>
      <c r="C147" s="3068"/>
      <c r="D147" s="3831">
        <v>34683287</v>
      </c>
      <c r="E147" s="3068"/>
      <c r="F147" s="3832">
        <f t="shared" si="42"/>
        <v>0.42144823619424565</v>
      </c>
      <c r="G147" s="3068"/>
      <c r="H147" s="3832">
        <v>0.11</v>
      </c>
      <c r="I147" s="3068"/>
      <c r="J147" s="3069"/>
      <c r="K147" s="1362"/>
      <c r="L147" s="3833">
        <f t="shared" si="43"/>
        <v>-0.12575471563860555</v>
      </c>
      <c r="M147" s="3068"/>
      <c r="N147" s="1631"/>
      <c r="O147" s="1632"/>
      <c r="P147" s="1631"/>
      <c r="Q147" s="1632"/>
      <c r="R147" s="1633"/>
      <c r="T147" s="3242"/>
      <c r="V147" s="3242"/>
      <c r="X147" s="3242"/>
      <c r="Z147" s="103"/>
    </row>
    <row r="148" spans="1:26" s="3170" customFormat="1" ht="13.8" thickBot="1">
      <c r="A148" s="2796" t="s">
        <v>378</v>
      </c>
      <c r="B148" s="3061"/>
      <c r="C148" s="3063"/>
      <c r="D148" s="3834">
        <f>SUM(D145:D147)</f>
        <v>82295485</v>
      </c>
      <c r="E148" s="3063"/>
      <c r="F148" s="3062"/>
      <c r="G148" s="3063"/>
      <c r="H148" s="3062"/>
      <c r="I148" s="3063"/>
      <c r="J148" s="3062"/>
      <c r="K148" s="3835"/>
      <c r="L148" s="3836">
        <f>SUM(L145:L147)</f>
        <v>-0.20848151479413224</v>
      </c>
      <c r="M148" s="3063"/>
      <c r="N148" s="1637"/>
      <c r="O148" s="1638"/>
      <c r="P148" s="1637"/>
      <c r="Q148" s="1638"/>
      <c r="R148" s="1639"/>
      <c r="T148" s="3251" t="s">
        <v>325</v>
      </c>
      <c r="V148" s="3251" t="s">
        <v>324</v>
      </c>
      <c r="X148" s="3251" t="s">
        <v>494</v>
      </c>
      <c r="Z148" s="104"/>
    </row>
    <row r="149" spans="1:26" s="3178" customFormat="1">
      <c r="A149" s="3177"/>
      <c r="B149" s="38"/>
      <c r="C149" s="38"/>
      <c r="D149" s="38"/>
      <c r="E149" s="38"/>
      <c r="F149" s="38"/>
      <c r="G149" s="38"/>
      <c r="H149" s="38"/>
      <c r="I149" s="38"/>
      <c r="J149" s="38"/>
      <c r="K149" s="38"/>
      <c r="L149" s="38"/>
      <c r="M149" s="38"/>
      <c r="N149" s="1629"/>
      <c r="O149" s="1630"/>
      <c r="P149" s="1629"/>
      <c r="Q149" s="1630"/>
      <c r="R149" s="1629"/>
      <c r="T149" s="3252"/>
      <c r="V149" s="3252"/>
      <c r="X149" s="3252"/>
      <c r="Z149" s="3170"/>
    </row>
    <row r="150" spans="1:26" s="3178" customFormat="1">
      <c r="A150" s="1482" t="s">
        <v>468</v>
      </c>
      <c r="B150" s="38"/>
      <c r="C150" s="38"/>
      <c r="D150" s="38"/>
      <c r="E150" s="38"/>
      <c r="F150" s="38"/>
      <c r="G150" s="38"/>
      <c r="H150" s="38"/>
      <c r="I150" s="38"/>
      <c r="J150" s="38"/>
      <c r="K150" s="38"/>
      <c r="L150" s="38"/>
      <c r="M150" s="38"/>
      <c r="N150" s="1629"/>
      <c r="O150" s="1630"/>
      <c r="P150" s="1629"/>
      <c r="Q150" s="1630"/>
      <c r="R150" s="1629"/>
      <c r="T150" s="3252"/>
      <c r="V150" s="3252"/>
      <c r="X150" s="3252"/>
      <c r="Z150" s="3170"/>
    </row>
    <row r="154" spans="1:26">
      <c r="A154" s="3241" t="s">
        <v>262</v>
      </c>
    </row>
    <row r="155" spans="1:26">
      <c r="B155" s="2749"/>
      <c r="C155" s="2749"/>
      <c r="D155" s="3243"/>
    </row>
    <row r="156" spans="1:26">
      <c r="B156" s="2749"/>
      <c r="C156" s="2749"/>
      <c r="D156" s="3243"/>
    </row>
    <row r="157" spans="1:26">
      <c r="B157" s="2749"/>
      <c r="C157" s="2749"/>
      <c r="D157" s="3243"/>
    </row>
    <row r="158" spans="1:26">
      <c r="B158" s="2749"/>
      <c r="C158" s="2749"/>
      <c r="D158" s="3243"/>
    </row>
  </sheetData>
  <mergeCells count="7">
    <mergeCell ref="A1:R1"/>
    <mergeCell ref="A104:S104"/>
    <mergeCell ref="J144:L144"/>
    <mergeCell ref="A105:S105"/>
    <mergeCell ref="A2:R2"/>
    <mergeCell ref="A3:R3"/>
    <mergeCell ref="A4:R4"/>
  </mergeCells>
  <printOptions horizontalCentered="1"/>
  <pageMargins left="0.2" right="0.3" top="0.39" bottom="0.75" header="0.3" footer="0.3"/>
  <pageSetup paperSize="5" scale="72" fitToHeight="3" orientation="landscape" r:id="rId1"/>
  <headerFooter alignWithMargins="0">
    <oddFooter>&amp;LHouse Ways and Means Cmte Amendment 1001 2-14-13&amp;R&amp;D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6"/>
  <sheetViews>
    <sheetView zoomScale="90" zoomScaleNormal="90" workbookViewId="0">
      <selection activeCell="A4" sqref="A4:K4"/>
    </sheetView>
  </sheetViews>
  <sheetFormatPr defaultColWidth="9.109375" defaultRowHeight="13.2"/>
  <cols>
    <col min="1" max="1" width="1.88671875" style="3924" customWidth="1"/>
    <col min="2" max="2" width="23.33203125" style="3924" customWidth="1"/>
    <col min="3" max="4" width="15.109375" style="3924" customWidth="1"/>
    <col min="5" max="5" width="14" style="3924" bestFit="1" customWidth="1"/>
    <col min="6" max="6" width="13.44140625" style="3924" bestFit="1" customWidth="1"/>
    <col min="7" max="7" width="13.5546875" style="3924" bestFit="1" customWidth="1"/>
    <col min="8" max="8" width="16.33203125" style="3924" bestFit="1" customWidth="1"/>
    <col min="9" max="9" width="14.5546875" style="3924" bestFit="1" customWidth="1"/>
    <col min="10" max="10" width="3.88671875" style="3924" customWidth="1"/>
    <col min="11" max="11" width="82.5546875" style="3924" bestFit="1" customWidth="1"/>
    <col min="12" max="13" width="12.6640625" style="3924" hidden="1" customWidth="1"/>
    <col min="14" max="14" width="9.109375" style="3924"/>
    <col min="15" max="15" width="11.88671875" style="3924" bestFit="1" customWidth="1"/>
    <col min="16" max="16" width="9.5546875" style="3924" bestFit="1" customWidth="1"/>
    <col min="17" max="17" width="11" style="3924" hidden="1" customWidth="1"/>
    <col min="18" max="18" width="9.109375" style="3924" hidden="1" customWidth="1"/>
    <col min="19" max="19" width="11.88671875" style="3924" hidden="1" customWidth="1"/>
    <col min="20" max="20" width="13.88671875" style="3924" hidden="1" customWidth="1"/>
    <col min="21" max="21" width="3.88671875" style="3924" customWidth="1"/>
    <col min="22" max="22" width="12.5546875" style="3924" bestFit="1" customWidth="1"/>
    <col min="23" max="23" width="12.88671875" style="3924" bestFit="1" customWidth="1"/>
    <col min="24" max="24" width="9.109375" style="3543"/>
    <col min="25" max="16384" width="9.109375" style="3924"/>
  </cols>
  <sheetData>
    <row r="1" spans="1:13">
      <c r="A1" s="4420" t="s">
        <v>528</v>
      </c>
      <c r="B1" s="4420"/>
      <c r="C1" s="4420"/>
      <c r="D1" s="4420"/>
      <c r="E1" s="4420"/>
      <c r="F1" s="4420"/>
      <c r="G1" s="4420"/>
      <c r="H1" s="4420"/>
      <c r="I1" s="4420"/>
      <c r="J1" s="4420"/>
      <c r="K1" s="4420"/>
    </row>
    <row r="2" spans="1:13">
      <c r="A2" s="4420" t="s">
        <v>529</v>
      </c>
      <c r="B2" s="4420"/>
      <c r="C2" s="4420"/>
      <c r="D2" s="4420"/>
      <c r="E2" s="4420"/>
      <c r="F2" s="4420"/>
      <c r="G2" s="4420"/>
      <c r="H2" s="4420"/>
      <c r="I2" s="4420"/>
      <c r="J2" s="4420"/>
      <c r="K2" s="4420"/>
      <c r="L2" s="3925" t="s">
        <v>530</v>
      </c>
      <c r="M2" s="3926">
        <f>'[7]FINAL HIGHER ED RECOMMENDATION'!C33</f>
        <v>0.85</v>
      </c>
    </row>
    <row r="3" spans="1:13">
      <c r="A3" s="4420" t="s">
        <v>606</v>
      </c>
      <c r="B3" s="4420"/>
      <c r="C3" s="4420"/>
      <c r="D3" s="4420"/>
      <c r="E3" s="4420"/>
      <c r="F3" s="4420"/>
      <c r="G3" s="4420"/>
      <c r="H3" s="4420"/>
      <c r="I3" s="4420"/>
      <c r="J3" s="4420"/>
      <c r="K3" s="4420"/>
      <c r="L3" s="3925" t="s">
        <v>531</v>
      </c>
      <c r="M3" s="3926">
        <f>'[7]FINAL HIGHER ED RECOMMENDATION'!C34</f>
        <v>0.85</v>
      </c>
    </row>
    <row r="4" spans="1:13">
      <c r="A4" s="4420" t="s">
        <v>970</v>
      </c>
      <c r="B4" s="4420"/>
      <c r="C4" s="4420"/>
      <c r="D4" s="4420"/>
      <c r="E4" s="4420"/>
      <c r="F4" s="4420"/>
      <c r="G4" s="4420"/>
      <c r="H4" s="4420"/>
      <c r="I4" s="4420"/>
      <c r="J4" s="4420"/>
      <c r="K4" s="4420"/>
    </row>
    <row r="6" spans="1:13" ht="13.8" thickBot="1">
      <c r="A6" s="3927"/>
      <c r="B6" s="3927"/>
      <c r="C6" s="3927"/>
      <c r="D6" s="3927"/>
      <c r="E6" s="3928" t="s">
        <v>9</v>
      </c>
      <c r="F6" s="3928" t="s">
        <v>532</v>
      </c>
      <c r="G6" s="3928" t="s">
        <v>533</v>
      </c>
      <c r="H6" s="3928" t="s">
        <v>10</v>
      </c>
      <c r="I6" s="3928" t="s">
        <v>11</v>
      </c>
      <c r="J6" s="3928"/>
      <c r="K6" s="3928" t="s">
        <v>534</v>
      </c>
    </row>
    <row r="7" spans="1:13">
      <c r="A7" s="3929" t="s">
        <v>535</v>
      </c>
      <c r="B7" s="3930"/>
      <c r="C7" s="3930"/>
      <c r="D7" s="3930"/>
      <c r="E7" s="3930"/>
      <c r="F7" s="3930"/>
      <c r="G7" s="3930"/>
      <c r="H7" s="3930"/>
      <c r="I7" s="3930"/>
      <c r="J7" s="3930"/>
      <c r="K7" s="3930"/>
    </row>
    <row r="8" spans="1:13">
      <c r="B8" s="3924" t="s">
        <v>536</v>
      </c>
      <c r="E8" s="3931">
        <v>707706.6</v>
      </c>
      <c r="F8" s="3931">
        <v>0</v>
      </c>
      <c r="G8" s="3931">
        <f t="shared" ref="G8:G21" si="0">E8+F8</f>
        <v>707706.6</v>
      </c>
      <c r="H8" s="3931">
        <f>G8</f>
        <v>707706.6</v>
      </c>
      <c r="I8" s="3931">
        <f>G8</f>
        <v>707706.6</v>
      </c>
    </row>
    <row r="9" spans="1:13" hidden="1">
      <c r="B9" s="3932" t="s">
        <v>537</v>
      </c>
      <c r="C9" s="3932"/>
      <c r="D9" s="3932"/>
      <c r="E9" s="3933">
        <v>0</v>
      </c>
      <c r="F9" s="3933">
        <v>0</v>
      </c>
      <c r="G9" s="3933">
        <f t="shared" si="0"/>
        <v>0</v>
      </c>
      <c r="H9" s="3933"/>
      <c r="I9" s="3933"/>
    </row>
    <row r="10" spans="1:13">
      <c r="B10" s="3924" t="s">
        <v>538</v>
      </c>
      <c r="E10" s="3931">
        <v>2105824</v>
      </c>
      <c r="F10" s="3931">
        <v>0</v>
      </c>
      <c r="G10" s="3931">
        <f t="shared" si="0"/>
        <v>2105824</v>
      </c>
      <c r="H10" s="3931">
        <f>G10</f>
        <v>2105824</v>
      </c>
      <c r="I10" s="3931">
        <f>G10</f>
        <v>2105824</v>
      </c>
    </row>
    <row r="11" spans="1:13">
      <c r="B11" s="3924" t="s">
        <v>539</v>
      </c>
      <c r="E11" s="3931">
        <v>2636907.4</v>
      </c>
      <c r="F11" s="3931">
        <v>0</v>
      </c>
      <c r="G11" s="3931">
        <f t="shared" si="0"/>
        <v>2636907.4</v>
      </c>
      <c r="H11" s="3931">
        <f>G11*1.035</f>
        <v>2729199.1589999995</v>
      </c>
      <c r="I11" s="3931">
        <f>H11</f>
        <v>2729199.1589999995</v>
      </c>
      <c r="K11" s="3936"/>
    </row>
    <row r="12" spans="1:13">
      <c r="B12" s="3924" t="s">
        <v>540</v>
      </c>
      <c r="E12" s="3931">
        <v>48061.549999999996</v>
      </c>
      <c r="F12" s="3931">
        <v>0</v>
      </c>
      <c r="G12" s="3931">
        <f t="shared" si="0"/>
        <v>48061.549999999996</v>
      </c>
      <c r="H12" s="3931">
        <v>150000</v>
      </c>
      <c r="I12" s="3931">
        <v>150000</v>
      </c>
      <c r="J12" s="3924" t="s">
        <v>1</v>
      </c>
    </row>
    <row r="13" spans="1:13">
      <c r="B13" s="3924" t="s">
        <v>541</v>
      </c>
      <c r="E13" s="3931">
        <v>0</v>
      </c>
      <c r="F13" s="3931">
        <v>0</v>
      </c>
      <c r="G13" s="3931">
        <f t="shared" si="0"/>
        <v>0</v>
      </c>
      <c r="H13" s="3931"/>
      <c r="I13" s="3931"/>
    </row>
    <row r="14" spans="1:13">
      <c r="B14" s="3932" t="s">
        <v>542</v>
      </c>
      <c r="C14" s="3932"/>
      <c r="D14" s="3933"/>
      <c r="E14" s="3933">
        <v>3000000</v>
      </c>
      <c r="F14" s="3933">
        <v>0</v>
      </c>
      <c r="G14" s="3933">
        <f t="shared" si="0"/>
        <v>3000000</v>
      </c>
      <c r="H14" s="3933">
        <v>3000000</v>
      </c>
      <c r="I14" s="3933">
        <v>3000000</v>
      </c>
      <c r="J14" s="3932"/>
      <c r="K14" s="3932"/>
    </row>
    <row r="15" spans="1:13">
      <c r="B15" s="3932" t="s">
        <v>830</v>
      </c>
      <c r="C15" s="3932"/>
      <c r="D15" s="3933"/>
      <c r="E15" s="3933">
        <v>0</v>
      </c>
      <c r="F15" s="3933">
        <v>0</v>
      </c>
      <c r="G15" s="3933">
        <f t="shared" si="0"/>
        <v>0</v>
      </c>
      <c r="H15" s="3933">
        <f>SUM('Dual Credit Data'!D7:D13)</f>
        <v>1454500</v>
      </c>
      <c r="I15" s="3933">
        <f>H15</f>
        <v>1454500</v>
      </c>
      <c r="J15" s="3932"/>
      <c r="K15" s="3932" t="s">
        <v>832</v>
      </c>
    </row>
    <row r="16" spans="1:13" hidden="1">
      <c r="B16" s="3932" t="s">
        <v>831</v>
      </c>
      <c r="C16" s="3932"/>
      <c r="D16" s="3933"/>
      <c r="E16" s="3933">
        <v>0</v>
      </c>
      <c r="F16" s="3933">
        <v>0</v>
      </c>
      <c r="G16" s="3933">
        <f t="shared" si="0"/>
        <v>0</v>
      </c>
      <c r="H16" s="3933">
        <f>'Research Expense Data BRS IX'!L72+'Research Expense Data BRS IX'!L89</f>
        <v>0</v>
      </c>
      <c r="I16" s="3933">
        <f>H16</f>
        <v>0</v>
      </c>
      <c r="J16" s="3932"/>
      <c r="K16" s="3932" t="s">
        <v>919</v>
      </c>
    </row>
    <row r="17" spans="1:16">
      <c r="B17" s="3932" t="s">
        <v>749</v>
      </c>
      <c r="C17" s="3932"/>
      <c r="D17" s="3933"/>
      <c r="E17" s="3933">
        <v>1500</v>
      </c>
      <c r="F17" s="3933">
        <v>0</v>
      </c>
      <c r="G17" s="3933">
        <f t="shared" si="0"/>
        <v>1500</v>
      </c>
      <c r="H17" s="3933">
        <v>48246</v>
      </c>
      <c r="I17" s="3933">
        <v>1500</v>
      </c>
      <c r="J17" s="3932"/>
      <c r="K17" s="3932" t="s">
        <v>684</v>
      </c>
    </row>
    <row r="18" spans="1:16" hidden="1">
      <c r="B18" s="3932" t="s">
        <v>543</v>
      </c>
      <c r="C18" s="3932"/>
      <c r="D18" s="3932"/>
      <c r="E18" s="3933">
        <v>0</v>
      </c>
      <c r="F18" s="3933">
        <v>0</v>
      </c>
      <c r="G18" s="3933">
        <f t="shared" si="0"/>
        <v>0</v>
      </c>
      <c r="H18" s="3933"/>
      <c r="I18" s="3933"/>
      <c r="J18" s="3932"/>
      <c r="K18" s="3932" t="s">
        <v>684</v>
      </c>
    </row>
    <row r="19" spans="1:16">
      <c r="B19" s="3932" t="s">
        <v>543</v>
      </c>
      <c r="C19" s="3932"/>
      <c r="D19" s="3932"/>
      <c r="E19" s="3933">
        <v>524230</v>
      </c>
      <c r="F19" s="3933">
        <v>0</v>
      </c>
      <c r="G19" s="3933">
        <f t="shared" si="0"/>
        <v>524230</v>
      </c>
      <c r="H19" s="3933">
        <f>G19*1.035</f>
        <v>542578.04999999993</v>
      </c>
      <c r="I19" s="3933">
        <f>H19</f>
        <v>542578.04999999993</v>
      </c>
      <c r="J19" s="3932"/>
      <c r="K19" s="4414"/>
    </row>
    <row r="20" spans="1:16">
      <c r="B20" s="3924" t="s">
        <v>544</v>
      </c>
      <c r="E20" s="3931">
        <v>1471833</v>
      </c>
      <c r="F20" s="3931">
        <v>0</v>
      </c>
      <c r="G20" s="3931">
        <f t="shared" si="0"/>
        <v>1471833</v>
      </c>
      <c r="H20" s="3931">
        <v>1471833</v>
      </c>
      <c r="I20" s="3931">
        <v>1471833</v>
      </c>
      <c r="K20" s="3924" t="s">
        <v>891</v>
      </c>
    </row>
    <row r="21" spans="1:16">
      <c r="B21" s="3924" t="s">
        <v>545</v>
      </c>
      <c r="E21" s="3931">
        <v>491438</v>
      </c>
      <c r="F21" s="3931">
        <v>0</v>
      </c>
      <c r="G21" s="3931">
        <f t="shared" si="0"/>
        <v>491438</v>
      </c>
      <c r="H21" s="3931">
        <v>435269</v>
      </c>
      <c r="I21" s="3931">
        <v>435269</v>
      </c>
      <c r="K21" s="3924" t="s">
        <v>891</v>
      </c>
    </row>
    <row r="22" spans="1:16">
      <c r="A22" s="3929" t="s">
        <v>546</v>
      </c>
      <c r="B22" s="3930"/>
      <c r="C22" s="3930"/>
      <c r="D22" s="3930"/>
      <c r="E22" s="3934"/>
      <c r="F22" s="3934"/>
      <c r="G22" s="3934"/>
      <c r="H22" s="3934"/>
      <c r="I22" s="3934"/>
      <c r="J22" s="3930"/>
      <c r="K22" s="3930"/>
    </row>
    <row r="23" spans="1:16">
      <c r="B23" s="3932" t="s">
        <v>547</v>
      </c>
      <c r="C23" s="3932"/>
      <c r="D23" s="3932"/>
      <c r="E23" s="3933">
        <v>522558</v>
      </c>
      <c r="F23" s="3933">
        <v>0</v>
      </c>
      <c r="G23" s="3933">
        <f t="shared" ref="G23:G35" si="1">E23+F23</f>
        <v>522558</v>
      </c>
      <c r="H23" s="3933">
        <f>G23</f>
        <v>522558</v>
      </c>
      <c r="I23" s="3933">
        <f>G23</f>
        <v>522558</v>
      </c>
    </row>
    <row r="24" spans="1:16">
      <c r="B24" s="3932" t="s">
        <v>548</v>
      </c>
      <c r="C24" s="3932"/>
      <c r="D24" s="3932"/>
      <c r="E24" s="3933">
        <v>7234605</v>
      </c>
      <c r="F24" s="3933">
        <v>0</v>
      </c>
      <c r="G24" s="3933">
        <f t="shared" si="1"/>
        <v>7234605</v>
      </c>
      <c r="H24" s="3933">
        <f>G24*1.035</f>
        <v>7487816.1749999998</v>
      </c>
      <c r="I24" s="3933">
        <f>H24</f>
        <v>7487816.1749999998</v>
      </c>
      <c r="K24" s="3936"/>
    </row>
    <row r="25" spans="1:16">
      <c r="B25" s="3932" t="s">
        <v>549</v>
      </c>
      <c r="C25" s="3932"/>
      <c r="D25" s="3932"/>
      <c r="E25" s="3933">
        <v>3449706</v>
      </c>
      <c r="F25" s="3933">
        <v>0</v>
      </c>
      <c r="G25" s="3933">
        <f t="shared" si="1"/>
        <v>3449706</v>
      </c>
      <c r="H25" s="3933">
        <f>G25+1000000</f>
        <v>4449706</v>
      </c>
      <c r="I25" s="3933">
        <f>G25*1.035</f>
        <v>3570445.7099999995</v>
      </c>
    </row>
    <row r="26" spans="1:16">
      <c r="B26" s="3932" t="s">
        <v>550</v>
      </c>
      <c r="C26" s="3932"/>
      <c r="D26" s="3932"/>
      <c r="E26" s="3933">
        <v>6468848</v>
      </c>
      <c r="F26" s="3933">
        <v>0</v>
      </c>
      <c r="G26" s="3933">
        <f t="shared" si="1"/>
        <v>6468848</v>
      </c>
      <c r="H26" s="3933">
        <f>G26*1.035</f>
        <v>6695257.6799999997</v>
      </c>
      <c r="I26" s="3933">
        <f>H26</f>
        <v>6695257.6799999997</v>
      </c>
      <c r="J26" s="3932"/>
      <c r="K26" s="4414"/>
    </row>
    <row r="27" spans="1:16">
      <c r="B27" s="3932" t="s">
        <v>551</v>
      </c>
      <c r="C27" s="3932"/>
      <c r="D27" s="3932"/>
      <c r="E27" s="3933">
        <v>1889039</v>
      </c>
      <c r="F27" s="3933">
        <v>0</v>
      </c>
      <c r="G27" s="3933">
        <f t="shared" si="1"/>
        <v>1889039</v>
      </c>
      <c r="H27" s="3933">
        <f>4430212-2500000</f>
        <v>1930212</v>
      </c>
      <c r="I27" s="3933">
        <f>H27</f>
        <v>1930212</v>
      </c>
      <c r="J27" s="3932"/>
      <c r="K27" s="3932"/>
      <c r="N27" s="3543"/>
      <c r="O27" s="3936"/>
      <c r="P27" s="3543"/>
    </row>
    <row r="28" spans="1:16">
      <c r="B28" s="3932" t="s">
        <v>552</v>
      </c>
      <c r="C28" s="3932"/>
      <c r="D28" s="3932"/>
      <c r="E28" s="3933">
        <v>7238961</v>
      </c>
      <c r="F28" s="3933">
        <v>0</v>
      </c>
      <c r="G28" s="3933">
        <f t="shared" si="1"/>
        <v>7238961</v>
      </c>
      <c r="H28" s="3933">
        <v>8492325</v>
      </c>
      <c r="I28" s="3933">
        <v>8492325</v>
      </c>
      <c r="J28" s="3932"/>
      <c r="K28" s="4414"/>
    </row>
    <row r="29" spans="1:16">
      <c r="B29" s="3932" t="s">
        <v>966</v>
      </c>
      <c r="C29" s="3932"/>
      <c r="D29" s="3932"/>
      <c r="E29" s="3933">
        <v>0</v>
      </c>
      <c r="F29" s="3933">
        <v>0</v>
      </c>
      <c r="G29" s="3933">
        <f t="shared" si="1"/>
        <v>0</v>
      </c>
      <c r="H29" s="3933">
        <v>2000000</v>
      </c>
      <c r="I29" s="3933">
        <v>2000000</v>
      </c>
      <c r="J29" s="3932"/>
      <c r="K29" s="4414" t="s">
        <v>967</v>
      </c>
    </row>
    <row r="30" spans="1:16">
      <c r="B30" s="3932" t="s">
        <v>833</v>
      </c>
      <c r="C30" s="3932"/>
      <c r="D30" s="3933"/>
      <c r="E30" s="3933">
        <v>0</v>
      </c>
      <c r="F30" s="3933">
        <v>0</v>
      </c>
      <c r="G30" s="3933">
        <f t="shared" si="1"/>
        <v>0</v>
      </c>
      <c r="H30" s="3933">
        <f>SUM('Dual Credit Data'!D15:D18)</f>
        <v>744700</v>
      </c>
      <c r="I30" s="3933">
        <f>H30</f>
        <v>744700</v>
      </c>
      <c r="J30" s="3932"/>
      <c r="K30" s="3932" t="s">
        <v>871</v>
      </c>
    </row>
    <row r="31" spans="1:16" hidden="1">
      <c r="B31" s="3932" t="s">
        <v>834</v>
      </c>
      <c r="C31" s="3932"/>
      <c r="D31" s="3933"/>
      <c r="E31" s="3933">
        <v>0</v>
      </c>
      <c r="F31" s="3933">
        <v>0</v>
      </c>
      <c r="G31" s="3933">
        <f t="shared" si="1"/>
        <v>0</v>
      </c>
      <c r="H31" s="3933">
        <f>'Research Expense Data BRS IX'!L55</f>
        <v>0</v>
      </c>
      <c r="I31" s="3933">
        <f>H31</f>
        <v>0</v>
      </c>
      <c r="J31" s="3932"/>
      <c r="K31" s="3932" t="s">
        <v>919</v>
      </c>
    </row>
    <row r="32" spans="1:16" hidden="1">
      <c r="B32" s="3932" t="s">
        <v>541</v>
      </c>
      <c r="C32" s="3932"/>
      <c r="D32" s="3932"/>
      <c r="E32" s="3933">
        <v>0</v>
      </c>
      <c r="F32" s="3933">
        <v>0</v>
      </c>
      <c r="G32" s="3933">
        <f t="shared" si="1"/>
        <v>0</v>
      </c>
      <c r="H32" s="3933"/>
      <c r="I32" s="3933"/>
      <c r="J32" s="3932"/>
      <c r="K32" s="3932"/>
    </row>
    <row r="33" spans="1:16">
      <c r="B33" s="3932" t="s">
        <v>737</v>
      </c>
      <c r="C33" s="3932"/>
      <c r="D33" s="3932"/>
      <c r="E33" s="3933">
        <v>0</v>
      </c>
      <c r="F33" s="3933">
        <v>0</v>
      </c>
      <c r="G33" s="3933">
        <f t="shared" si="1"/>
        <v>0</v>
      </c>
      <c r="H33" s="3933">
        <v>2500000</v>
      </c>
      <c r="I33" s="3933">
        <v>2500000</v>
      </c>
      <c r="J33" s="3932"/>
      <c r="K33" s="3932" t="s">
        <v>957</v>
      </c>
    </row>
    <row r="34" spans="1:16">
      <c r="B34" s="3924" t="s">
        <v>553</v>
      </c>
      <c r="E34" s="3931">
        <v>150000</v>
      </c>
      <c r="F34" s="3931">
        <v>0</v>
      </c>
      <c r="G34" s="3931">
        <f t="shared" si="1"/>
        <v>150000</v>
      </c>
      <c r="H34" s="3931">
        <v>150000</v>
      </c>
      <c r="I34" s="3931">
        <v>150000</v>
      </c>
      <c r="K34" s="3924" t="s">
        <v>892</v>
      </c>
    </row>
    <row r="35" spans="1:16">
      <c r="B35" s="3924" t="s">
        <v>554</v>
      </c>
      <c r="E35" s="3931">
        <v>465714</v>
      </c>
      <c r="F35" s="3931">
        <v>0</v>
      </c>
      <c r="G35" s="3931">
        <f t="shared" si="1"/>
        <v>465714</v>
      </c>
      <c r="H35" s="3931">
        <v>523851</v>
      </c>
      <c r="I35" s="3931">
        <v>523851</v>
      </c>
      <c r="K35" s="3924" t="s">
        <v>892</v>
      </c>
    </row>
    <row r="36" spans="1:16">
      <c r="A36" s="3929" t="s">
        <v>555</v>
      </c>
      <c r="B36" s="3930"/>
      <c r="C36" s="3930"/>
      <c r="D36" s="3930"/>
      <c r="E36" s="3934"/>
      <c r="F36" s="3934"/>
      <c r="G36" s="3934"/>
      <c r="H36" s="3934"/>
      <c r="I36" s="3934"/>
      <c r="J36" s="3930"/>
      <c r="K36" s="3930"/>
    </row>
    <row r="37" spans="1:16">
      <c r="B37" s="3932" t="s">
        <v>556</v>
      </c>
      <c r="C37" s="3932"/>
      <c r="D37" s="3932"/>
      <c r="E37" s="3933">
        <v>2500000</v>
      </c>
      <c r="F37" s="3933">
        <v>0</v>
      </c>
      <c r="G37" s="3933">
        <f>E37+F37</f>
        <v>2500000</v>
      </c>
      <c r="H37" s="3933">
        <f>(G37*1.035)+4000000</f>
        <v>6587500</v>
      </c>
      <c r="I37" s="3933">
        <f>H37</f>
        <v>6587500</v>
      </c>
      <c r="K37" s="3936"/>
    </row>
    <row r="38" spans="1:16">
      <c r="B38" s="3932" t="s">
        <v>557</v>
      </c>
      <c r="C38" s="3932"/>
      <c r="D38" s="3932"/>
      <c r="E38" s="3933">
        <v>4273836</v>
      </c>
      <c r="F38" s="3933">
        <v>0</v>
      </c>
      <c r="G38" s="3933">
        <f>E38+F38</f>
        <v>4273836</v>
      </c>
      <c r="H38" s="3933">
        <v>4384956</v>
      </c>
      <c r="I38" s="3933">
        <f>H38</f>
        <v>4384956</v>
      </c>
      <c r="K38" s="3935"/>
      <c r="O38" s="3935"/>
      <c r="P38" s="3936"/>
    </row>
    <row r="39" spans="1:16">
      <c r="B39" s="3932" t="s">
        <v>835</v>
      </c>
      <c r="C39" s="3932"/>
      <c r="D39" s="3933"/>
      <c r="E39" s="3933">
        <v>0</v>
      </c>
      <c r="F39" s="3933">
        <v>0</v>
      </c>
      <c r="G39" s="3933">
        <f t="shared" ref="G39:G40" si="2">E39+F39</f>
        <v>0</v>
      </c>
      <c r="H39" s="3933">
        <f>'Dual Credit Data'!D5</f>
        <v>99450</v>
      </c>
      <c r="I39" s="3933">
        <f>H39</f>
        <v>99450</v>
      </c>
      <c r="J39" s="3932"/>
      <c r="K39" s="3932" t="s">
        <v>872</v>
      </c>
    </row>
    <row r="40" spans="1:16" hidden="1">
      <c r="B40" s="4251" t="s">
        <v>840</v>
      </c>
      <c r="C40" s="4251"/>
      <c r="D40" s="4252"/>
      <c r="E40" s="4252">
        <v>0</v>
      </c>
      <c r="F40" s="4252">
        <v>0</v>
      </c>
      <c r="G40" s="4252">
        <f t="shared" si="2"/>
        <v>0</v>
      </c>
      <c r="H40" s="4252">
        <f>'Research Expense Data BRS IX'!L38</f>
        <v>0</v>
      </c>
      <c r="I40" s="4252">
        <f>H40</f>
        <v>0</v>
      </c>
      <c r="J40" s="4251"/>
      <c r="K40" s="4251" t="s">
        <v>919</v>
      </c>
    </row>
    <row r="41" spans="1:16">
      <c r="A41" s="3929" t="s">
        <v>558</v>
      </c>
      <c r="B41" s="3930"/>
      <c r="C41" s="3930"/>
      <c r="D41" s="3930"/>
      <c r="E41" s="3934"/>
      <c r="F41" s="3934"/>
      <c r="G41" s="3934"/>
      <c r="H41" s="3934"/>
      <c r="I41" s="3934"/>
      <c r="J41" s="3930"/>
      <c r="K41" s="3930"/>
    </row>
    <row r="42" spans="1:16">
      <c r="B42" s="3924" t="s">
        <v>559</v>
      </c>
      <c r="E42" s="3931">
        <v>204000</v>
      </c>
      <c r="F42" s="3931">
        <v>0</v>
      </c>
      <c r="G42" s="3931">
        <f>E42+F42</f>
        <v>204000</v>
      </c>
      <c r="H42" s="3931">
        <v>204000</v>
      </c>
      <c r="I42" s="3931">
        <v>204000</v>
      </c>
    </row>
    <row r="43" spans="1:16">
      <c r="B43" s="3932" t="s">
        <v>947</v>
      </c>
      <c r="C43" s="3932"/>
      <c r="D43" s="3932"/>
      <c r="E43" s="3933">
        <v>0</v>
      </c>
      <c r="F43" s="3933">
        <v>0</v>
      </c>
      <c r="G43" s="3933">
        <f>E43+F43</f>
        <v>0</v>
      </c>
      <c r="H43" s="3933">
        <v>600000</v>
      </c>
      <c r="I43" s="3933">
        <v>600000</v>
      </c>
      <c r="J43" s="3932"/>
      <c r="K43" s="3932" t="s">
        <v>957</v>
      </c>
    </row>
    <row r="44" spans="1:16">
      <c r="B44" s="3932" t="s">
        <v>836</v>
      </c>
      <c r="C44" s="3932"/>
      <c r="D44" s="3933"/>
      <c r="E44" s="3933">
        <v>0</v>
      </c>
      <c r="F44" s="3933">
        <v>0</v>
      </c>
      <c r="G44" s="3933">
        <f t="shared" ref="G44" si="3">E44+F44</f>
        <v>0</v>
      </c>
      <c r="H44" s="3933">
        <f>'Dual Credit Data'!D6</f>
        <v>83200</v>
      </c>
      <c r="I44" s="3933">
        <f>H44</f>
        <v>83200</v>
      </c>
      <c r="J44" s="3932"/>
      <c r="K44" s="3932" t="s">
        <v>872</v>
      </c>
    </row>
    <row r="45" spans="1:16">
      <c r="A45" s="3929" t="s">
        <v>560</v>
      </c>
      <c r="B45" s="3930"/>
      <c r="C45" s="3930"/>
      <c r="D45" s="3930"/>
      <c r="E45" s="3934"/>
      <c r="F45" s="3934"/>
      <c r="G45" s="3934"/>
      <c r="H45" s="3934"/>
      <c r="I45" s="3934"/>
      <c r="J45" s="3930"/>
      <c r="K45" s="3930"/>
    </row>
    <row r="46" spans="1:16">
      <c r="B46" s="3924" t="s">
        <v>561</v>
      </c>
      <c r="E46" s="3931">
        <v>470413.8</v>
      </c>
      <c r="F46" s="3931">
        <v>0</v>
      </c>
      <c r="G46" s="3931">
        <f>E46+F46</f>
        <v>470413.8</v>
      </c>
      <c r="H46" s="3931">
        <f>G46*1.035</f>
        <v>486878.28299999994</v>
      </c>
      <c r="I46" s="3931">
        <f>H46</f>
        <v>486878.28299999994</v>
      </c>
      <c r="K46" s="3936"/>
    </row>
    <row r="47" spans="1:16">
      <c r="B47" s="3924" t="s">
        <v>968</v>
      </c>
      <c r="E47" s="3931">
        <v>0</v>
      </c>
      <c r="F47" s="3931">
        <v>0</v>
      </c>
      <c r="G47" s="3931">
        <f>E47+F47</f>
        <v>0</v>
      </c>
      <c r="H47" s="3931">
        <v>2000000</v>
      </c>
      <c r="I47" s="3931">
        <v>2000000</v>
      </c>
      <c r="K47" s="3936" t="s">
        <v>957</v>
      </c>
    </row>
    <row r="48" spans="1:16">
      <c r="B48" s="3932" t="s">
        <v>837</v>
      </c>
      <c r="C48" s="3932"/>
      <c r="D48" s="3933"/>
      <c r="E48" s="3933">
        <v>0</v>
      </c>
      <c r="F48" s="3933">
        <v>0</v>
      </c>
      <c r="G48" s="3933">
        <f t="shared" ref="G48" si="4">E48+F48</f>
        <v>0</v>
      </c>
      <c r="H48" s="3933">
        <f>'Dual Credit Data'!D19</f>
        <v>274100</v>
      </c>
      <c r="I48" s="3933">
        <f>H48</f>
        <v>274100</v>
      </c>
      <c r="J48" s="3932"/>
      <c r="K48" s="3932" t="s">
        <v>872</v>
      </c>
    </row>
    <row r="49" spans="1:11">
      <c r="A49" s="3929" t="s">
        <v>718</v>
      </c>
      <c r="B49" s="3930"/>
      <c r="C49" s="3930"/>
      <c r="D49" s="3930"/>
      <c r="E49" s="3934"/>
      <c r="F49" s="3934"/>
      <c r="G49" s="3934"/>
      <c r="H49" s="3934"/>
      <c r="I49" s="3934"/>
      <c r="J49" s="3930"/>
      <c r="K49" s="3930"/>
    </row>
    <row r="50" spans="1:11">
      <c r="B50" s="3924" t="s">
        <v>719</v>
      </c>
      <c r="E50" s="3931">
        <v>0</v>
      </c>
      <c r="F50" s="3931">
        <v>0</v>
      </c>
      <c r="G50" s="3931">
        <f>E50+F50</f>
        <v>0</v>
      </c>
      <c r="H50" s="3931">
        <f>3000000-3000000</f>
        <v>0</v>
      </c>
      <c r="I50" s="3931">
        <f>5000000-5000000</f>
        <v>0</v>
      </c>
    </row>
    <row r="51" spans="1:11">
      <c r="B51" s="3932" t="s">
        <v>838</v>
      </c>
      <c r="C51" s="3932"/>
      <c r="D51" s="3933"/>
      <c r="E51" s="3933">
        <v>0</v>
      </c>
      <c r="F51" s="3933">
        <v>0</v>
      </c>
      <c r="G51" s="3933">
        <f t="shared" ref="G51" si="5">E51+F51</f>
        <v>0</v>
      </c>
      <c r="H51" s="3933">
        <f>'Dual Credit Data'!D20</f>
        <v>1474650</v>
      </c>
      <c r="I51" s="3933">
        <f>H51</f>
        <v>1474650</v>
      </c>
      <c r="J51" s="3932"/>
      <c r="K51" s="3932" t="s">
        <v>872</v>
      </c>
    </row>
    <row r="52" spans="1:11">
      <c r="A52" s="3929" t="s">
        <v>562</v>
      </c>
      <c r="B52" s="3930"/>
      <c r="C52" s="3930"/>
      <c r="D52" s="3930"/>
      <c r="E52" s="3934"/>
      <c r="F52" s="3934"/>
      <c r="G52" s="3934"/>
      <c r="H52" s="3934"/>
      <c r="I52" s="3934"/>
      <c r="J52" s="3930"/>
      <c r="K52" s="3930"/>
    </row>
    <row r="53" spans="1:11">
      <c r="B53" s="3924" t="s">
        <v>563</v>
      </c>
      <c r="E53" s="3931">
        <v>85411.4</v>
      </c>
      <c r="F53" s="3931">
        <v>0</v>
      </c>
      <c r="G53" s="3931">
        <f>E53+F53</f>
        <v>85411.4</v>
      </c>
      <c r="H53" s="3931">
        <v>85411</v>
      </c>
      <c r="I53" s="3931">
        <v>85411</v>
      </c>
    </row>
    <row r="54" spans="1:11">
      <c r="B54" s="3932" t="s">
        <v>564</v>
      </c>
      <c r="C54" s="3932"/>
      <c r="D54" s="3932"/>
      <c r="E54" s="3933">
        <v>1000000</v>
      </c>
      <c r="F54" s="3933"/>
      <c r="G54" s="3933">
        <f>E54+F54</f>
        <v>1000000</v>
      </c>
      <c r="H54" s="3933">
        <v>1000000</v>
      </c>
      <c r="I54" s="3933">
        <v>1000000</v>
      </c>
      <c r="J54" s="3932"/>
      <c r="K54" s="3932"/>
    </row>
    <row r="55" spans="1:11">
      <c r="B55" s="3932" t="s">
        <v>839</v>
      </c>
      <c r="C55" s="3932"/>
      <c r="D55" s="3933"/>
      <c r="E55" s="3933">
        <v>0</v>
      </c>
      <c r="F55" s="3933">
        <v>0</v>
      </c>
      <c r="G55" s="3933">
        <f t="shared" ref="G55" si="6">E55+F55</f>
        <v>0</v>
      </c>
      <c r="H55" s="3933">
        <f>'Dual Credit Data'!D14</f>
        <v>4125150</v>
      </c>
      <c r="I55" s="3933">
        <f>H55</f>
        <v>4125150</v>
      </c>
      <c r="J55" s="3932"/>
      <c r="K55" s="3932" t="s">
        <v>872</v>
      </c>
    </row>
    <row r="56" spans="1:11">
      <c r="A56" s="3929" t="s">
        <v>565</v>
      </c>
      <c r="B56" s="3930"/>
      <c r="C56" s="3930"/>
      <c r="D56" s="3930"/>
      <c r="E56" s="3934"/>
      <c r="F56" s="3934"/>
      <c r="G56" s="3934"/>
      <c r="H56" s="3934"/>
      <c r="I56" s="3934"/>
      <c r="J56" s="3930"/>
      <c r="K56" s="3930"/>
    </row>
    <row r="57" spans="1:11">
      <c r="B57" s="3924" t="s">
        <v>566</v>
      </c>
      <c r="E57" s="3931">
        <v>0</v>
      </c>
      <c r="F57" s="3931">
        <v>0</v>
      </c>
      <c r="G57" s="3931">
        <f t="shared" ref="G57:G64" si="7">E57+F57</f>
        <v>0</v>
      </c>
      <c r="H57" s="3931">
        <v>0</v>
      </c>
      <c r="I57" s="3931">
        <v>0</v>
      </c>
    </row>
    <row r="58" spans="1:11">
      <c r="B58" s="3924" t="s">
        <v>567</v>
      </c>
      <c r="E58" s="3931">
        <v>0</v>
      </c>
      <c r="F58" s="3931">
        <v>0</v>
      </c>
      <c r="G58" s="3931">
        <f t="shared" si="7"/>
        <v>0</v>
      </c>
      <c r="H58" s="3931">
        <v>0</v>
      </c>
      <c r="I58" s="3931">
        <v>0</v>
      </c>
    </row>
    <row r="59" spans="1:11">
      <c r="B59" s="3924" t="s">
        <v>542</v>
      </c>
      <c r="E59" s="3933">
        <v>0</v>
      </c>
      <c r="F59" s="3933">
        <v>0</v>
      </c>
      <c r="G59" s="3933">
        <f t="shared" si="7"/>
        <v>0</v>
      </c>
      <c r="H59" s="3933">
        <v>0</v>
      </c>
      <c r="I59" s="3933">
        <v>0</v>
      </c>
    </row>
    <row r="60" spans="1:11">
      <c r="B60" s="3924" t="s">
        <v>568</v>
      </c>
      <c r="E60" s="3931">
        <v>0</v>
      </c>
      <c r="F60" s="3931">
        <v>0</v>
      </c>
      <c r="G60" s="3931">
        <f t="shared" si="7"/>
        <v>0</v>
      </c>
      <c r="H60" s="3931">
        <v>0</v>
      </c>
      <c r="I60" s="3931">
        <v>0</v>
      </c>
    </row>
    <row r="61" spans="1:11">
      <c r="B61" s="3924" t="s">
        <v>569</v>
      </c>
      <c r="E61" s="3931">
        <v>656158</v>
      </c>
      <c r="F61" s="3931">
        <v>0</v>
      </c>
      <c r="G61" s="3931">
        <f t="shared" si="7"/>
        <v>656158</v>
      </c>
      <c r="H61" s="3931">
        <f>G61</f>
        <v>656158</v>
      </c>
      <c r="I61" s="3931">
        <f>G61</f>
        <v>656158</v>
      </c>
      <c r="K61" s="3924" t="s">
        <v>570</v>
      </c>
    </row>
    <row r="62" spans="1:11" hidden="1">
      <c r="B62" s="3932" t="s">
        <v>571</v>
      </c>
      <c r="C62" s="3932"/>
      <c r="D62" s="3932"/>
      <c r="E62" s="3933">
        <v>0</v>
      </c>
      <c r="F62" s="3933">
        <v>0</v>
      </c>
      <c r="G62" s="3933">
        <f t="shared" si="7"/>
        <v>0</v>
      </c>
      <c r="H62" s="3933">
        <v>0</v>
      </c>
      <c r="I62" s="3933">
        <v>0</v>
      </c>
      <c r="K62" s="3924" t="s">
        <v>570</v>
      </c>
    </row>
    <row r="63" spans="1:11" hidden="1">
      <c r="B63" s="3932" t="s">
        <v>572</v>
      </c>
      <c r="C63" s="3932"/>
      <c r="D63" s="3932"/>
      <c r="E63" s="3933">
        <v>0</v>
      </c>
      <c r="F63" s="3933">
        <v>0</v>
      </c>
      <c r="G63" s="3933">
        <f t="shared" si="7"/>
        <v>0</v>
      </c>
      <c r="H63" s="3933">
        <v>0</v>
      </c>
      <c r="I63" s="3933">
        <v>0</v>
      </c>
      <c r="K63" s="3924" t="s">
        <v>570</v>
      </c>
    </row>
    <row r="64" spans="1:11">
      <c r="B64" s="3932" t="s">
        <v>920</v>
      </c>
      <c r="C64" s="3932"/>
      <c r="D64" s="3932"/>
      <c r="E64" s="3933">
        <v>1090452</v>
      </c>
      <c r="F64" s="3933">
        <v>0</v>
      </c>
      <c r="G64" s="3933">
        <f t="shared" si="7"/>
        <v>1090452</v>
      </c>
      <c r="H64" s="3933">
        <v>1090452</v>
      </c>
      <c r="I64" s="3933">
        <v>1090452</v>
      </c>
      <c r="K64" s="3924" t="s">
        <v>921</v>
      </c>
    </row>
    <row r="65" spans="1:23">
      <c r="B65" s="3924" t="s">
        <v>573</v>
      </c>
      <c r="E65" s="3931">
        <v>460245</v>
      </c>
      <c r="F65" s="3931">
        <v>0</v>
      </c>
      <c r="G65" s="3931">
        <f>E65+F65</f>
        <v>460245</v>
      </c>
      <c r="H65" s="3931">
        <v>460245</v>
      </c>
      <c r="I65" s="3931">
        <v>460245</v>
      </c>
      <c r="K65" s="3924" t="s">
        <v>570</v>
      </c>
    </row>
    <row r="66" spans="1:23">
      <c r="B66" s="3924" t="s">
        <v>574</v>
      </c>
      <c r="E66" s="3931">
        <v>732794</v>
      </c>
      <c r="F66" s="3931">
        <v>0</v>
      </c>
      <c r="G66" s="3931">
        <f>E66+F66</f>
        <v>732794</v>
      </c>
      <c r="H66" s="3931">
        <v>732794</v>
      </c>
      <c r="I66" s="3931">
        <v>732794</v>
      </c>
      <c r="K66" s="3924" t="s">
        <v>570</v>
      </c>
    </row>
    <row r="67" spans="1:23">
      <c r="B67" s="3924" t="s">
        <v>575</v>
      </c>
      <c r="E67" s="3931">
        <v>95000</v>
      </c>
      <c r="F67" s="3931">
        <v>0</v>
      </c>
      <c r="G67" s="3931">
        <f>E67+F67</f>
        <v>95000</v>
      </c>
      <c r="H67" s="3931">
        <v>95000</v>
      </c>
      <c r="I67" s="3931">
        <v>95000</v>
      </c>
      <c r="K67" s="3924" t="s">
        <v>570</v>
      </c>
    </row>
    <row r="68" spans="1:23" ht="13.8" thickBot="1">
      <c r="A68" s="3929" t="s">
        <v>915</v>
      </c>
      <c r="B68" s="3930"/>
      <c r="C68" s="3930"/>
      <c r="D68" s="3930"/>
      <c r="E68" s="3934"/>
      <c r="F68" s="3934"/>
      <c r="G68" s="3934"/>
      <c r="H68" s="3934"/>
      <c r="I68" s="3934"/>
      <c r="J68" s="3930"/>
      <c r="K68" s="3930"/>
    </row>
    <row r="69" spans="1:23">
      <c r="B69" s="3932" t="s">
        <v>576</v>
      </c>
      <c r="C69" s="3932"/>
      <c r="D69" s="3932"/>
      <c r="E69" s="3933">
        <v>26619114</v>
      </c>
      <c r="F69" s="3933">
        <v>0</v>
      </c>
      <c r="G69" s="3933">
        <f t="shared" ref="G69:G87" si="8">E69+F69</f>
        <v>26619114</v>
      </c>
      <c r="H69" s="3933">
        <f>27246133-S70</f>
        <v>27190589.278637663</v>
      </c>
      <c r="I69" s="3933">
        <f>28756585-S70</f>
        <v>28701041.278637663</v>
      </c>
      <c r="L69" s="3936"/>
      <c r="M69" s="3936"/>
      <c r="Q69" s="4351"/>
      <c r="R69" s="4067"/>
      <c r="S69" s="4352">
        <v>651188</v>
      </c>
      <c r="T69" s="4068"/>
      <c r="V69" s="3936"/>
      <c r="W69" s="3936"/>
    </row>
    <row r="70" spans="1:23">
      <c r="B70" s="3924" t="s">
        <v>916</v>
      </c>
      <c r="E70" s="3931">
        <v>912336</v>
      </c>
      <c r="F70" s="3931">
        <v>-27370</v>
      </c>
      <c r="G70" s="3931">
        <f t="shared" si="8"/>
        <v>884966</v>
      </c>
      <c r="H70" s="3933">
        <v>0</v>
      </c>
      <c r="I70" s="3933">
        <v>0</v>
      </c>
      <c r="L70" s="3936"/>
      <c r="M70" s="3936"/>
      <c r="Q70" s="4353">
        <v>58062</v>
      </c>
      <c r="R70" s="4354">
        <f t="shared" ref="R70:R75" si="9">Q70/$Q$79</f>
        <v>8.5295984204773828E-2</v>
      </c>
      <c r="S70" s="4355">
        <f>R70*$S$69</f>
        <v>55543.721362338263</v>
      </c>
      <c r="T70" s="4358" t="s">
        <v>882</v>
      </c>
      <c r="V70" s="3936"/>
      <c r="W70" s="3936"/>
    </row>
    <row r="71" spans="1:23">
      <c r="B71" s="3924" t="s">
        <v>918</v>
      </c>
      <c r="E71" s="3931">
        <v>377179</v>
      </c>
      <c r="F71" s="3931">
        <v>-11315</v>
      </c>
      <c r="G71" s="3931">
        <f t="shared" si="8"/>
        <v>365864</v>
      </c>
      <c r="H71" s="3933">
        <v>0</v>
      </c>
      <c r="I71" s="3933">
        <v>0</v>
      </c>
      <c r="L71" s="3936"/>
      <c r="M71" s="3936"/>
      <c r="O71" s="3936"/>
      <c r="Q71" s="4353">
        <v>195787</v>
      </c>
      <c r="R71" s="4354">
        <f t="shared" si="9"/>
        <v>0.28762090281940084</v>
      </c>
      <c r="S71" s="4355">
        <f t="shared" ref="S71" si="10">R71*$S$69</f>
        <v>187295.28046516</v>
      </c>
      <c r="T71" s="4358" t="s">
        <v>883</v>
      </c>
      <c r="V71" s="3936"/>
      <c r="W71" s="3936"/>
    </row>
    <row r="72" spans="1:23">
      <c r="B72" s="3924" t="s">
        <v>928</v>
      </c>
      <c r="E72" s="3931">
        <v>0</v>
      </c>
      <c r="F72" s="3931">
        <v>0</v>
      </c>
      <c r="G72" s="3931">
        <f t="shared" si="8"/>
        <v>0</v>
      </c>
      <c r="H72" s="3933">
        <v>450000</v>
      </c>
      <c r="I72" s="3933">
        <v>450000</v>
      </c>
      <c r="L72" s="3936"/>
      <c r="M72" s="3936"/>
      <c r="O72" s="3936"/>
      <c r="Q72" s="4353">
        <v>84666</v>
      </c>
      <c r="R72" s="4354">
        <f t="shared" si="9"/>
        <v>0.12437859182738074</v>
      </c>
      <c r="S72" s="4355">
        <f>R72*$S$69</f>
        <v>80993.846454888408</v>
      </c>
      <c r="T72" s="4358" t="s">
        <v>884</v>
      </c>
      <c r="V72" s="3936"/>
      <c r="W72" s="3936"/>
    </row>
    <row r="73" spans="1:23">
      <c r="B73" s="3924" t="s">
        <v>577</v>
      </c>
      <c r="E73" s="3931">
        <v>1892383</v>
      </c>
      <c r="F73" s="3931">
        <v>-56771</v>
      </c>
      <c r="G73" s="3931">
        <f t="shared" si="8"/>
        <v>1835612</v>
      </c>
      <c r="H73" s="3933">
        <f>G73*1.035</f>
        <v>1899858.42</v>
      </c>
      <c r="I73" s="3933">
        <f>H73</f>
        <v>1899858.42</v>
      </c>
      <c r="L73" s="3936"/>
      <c r="M73" s="3936"/>
      <c r="Q73" s="4353">
        <v>88274</v>
      </c>
      <c r="R73" s="4354">
        <f t="shared" si="9"/>
        <v>0.12967892442031284</v>
      </c>
      <c r="S73" s="4355">
        <f>R73*$S$69</f>
        <v>84445.359435414677</v>
      </c>
      <c r="T73" s="4358" t="s">
        <v>885</v>
      </c>
      <c r="V73" s="3936"/>
      <c r="W73" s="3936"/>
    </row>
    <row r="74" spans="1:23">
      <c r="B74" s="3924" t="s">
        <v>578</v>
      </c>
      <c r="E74" s="3931">
        <v>2806588</v>
      </c>
      <c r="F74" s="3931">
        <v>0</v>
      </c>
      <c r="G74" s="3931">
        <f t="shared" si="8"/>
        <v>2806588</v>
      </c>
      <c r="H74" s="3933">
        <v>3579353</v>
      </c>
      <c r="I74" s="3933">
        <v>3676240</v>
      </c>
      <c r="L74" s="3936"/>
      <c r="M74" s="3936"/>
      <c r="Q74" s="4353">
        <v>191399</v>
      </c>
      <c r="R74" s="4354">
        <f t="shared" si="9"/>
        <v>0.28117471118475951</v>
      </c>
      <c r="S74" s="4355">
        <f>R74*$S$69</f>
        <v>183097.59782698116</v>
      </c>
      <c r="T74" s="4358" t="s">
        <v>886</v>
      </c>
      <c r="V74" s="3936"/>
      <c r="W74" s="3936"/>
    </row>
    <row r="75" spans="1:23">
      <c r="B75" s="3924" t="s">
        <v>922</v>
      </c>
      <c r="E75" s="3931">
        <v>415919</v>
      </c>
      <c r="F75" s="3931">
        <v>-12478</v>
      </c>
      <c r="G75" s="3931">
        <f t="shared" si="8"/>
        <v>403441</v>
      </c>
      <c r="H75" s="3933">
        <v>400000</v>
      </c>
      <c r="I75" s="3933">
        <v>400000</v>
      </c>
      <c r="L75" s="3936"/>
      <c r="M75" s="3936"/>
      <c r="Q75" s="4353">
        <v>62524</v>
      </c>
      <c r="R75" s="4354">
        <f t="shared" si="9"/>
        <v>9.1850885543372229E-2</v>
      </c>
      <c r="S75" s="4355">
        <f>R75*$S$69</f>
        <v>59812.194455217475</v>
      </c>
      <c r="T75" s="4358" t="s">
        <v>887</v>
      </c>
      <c r="V75" s="3936"/>
      <c r="W75" s="3936"/>
    </row>
    <row r="76" spans="1:23">
      <c r="B76" s="3924" t="s">
        <v>940</v>
      </c>
      <c r="E76" s="3931">
        <v>0</v>
      </c>
      <c r="F76" s="3931">
        <v>0</v>
      </c>
      <c r="G76" s="3931">
        <v>0</v>
      </c>
      <c r="H76" s="3933">
        <v>50000</v>
      </c>
      <c r="I76" s="3933">
        <v>50000</v>
      </c>
      <c r="L76" s="3936"/>
      <c r="M76" s="3936"/>
      <c r="Q76" s="4353"/>
      <c r="R76" s="4354"/>
      <c r="S76" s="4355"/>
      <c r="T76" s="4358"/>
      <c r="V76" s="3936"/>
      <c r="W76" s="3936"/>
    </row>
    <row r="77" spans="1:23">
      <c r="B77" s="3924" t="s">
        <v>958</v>
      </c>
      <c r="E77" s="3931">
        <v>0</v>
      </c>
      <c r="F77" s="3931">
        <v>0</v>
      </c>
      <c r="G77" s="3931">
        <v>0</v>
      </c>
      <c r="H77" s="3933">
        <v>1000000</v>
      </c>
      <c r="I77" s="3933">
        <v>2000000</v>
      </c>
      <c r="K77" s="3924" t="s">
        <v>964</v>
      </c>
      <c r="L77" s="3936"/>
      <c r="M77" s="3936"/>
      <c r="Q77" s="4353"/>
      <c r="R77" s="4354"/>
      <c r="S77" s="4355"/>
      <c r="T77" s="4358"/>
      <c r="V77" s="3936"/>
      <c r="W77" s="3936"/>
    </row>
    <row r="78" spans="1:23" ht="13.8" thickBot="1">
      <c r="B78" s="3924" t="s">
        <v>857</v>
      </c>
      <c r="E78" s="3931">
        <v>837719</v>
      </c>
      <c r="F78" s="3931">
        <v>-48522</v>
      </c>
      <c r="G78" s="3931">
        <f t="shared" si="8"/>
        <v>789197</v>
      </c>
      <c r="H78" s="3933">
        <f>789197-S74</f>
        <v>606099.40217301878</v>
      </c>
      <c r="I78" s="3933">
        <f>789197-S74</f>
        <v>606099.40217301878</v>
      </c>
      <c r="L78" s="3936"/>
      <c r="M78" s="3936"/>
      <c r="Q78" s="4356"/>
      <c r="R78" s="4406">
        <f>Q78/$Q$79</f>
        <v>0</v>
      </c>
      <c r="S78" s="3927"/>
      <c r="T78" s="4359"/>
      <c r="V78" s="3936"/>
      <c r="W78" s="3936"/>
    </row>
    <row r="79" spans="1:23" ht="13.8" hidden="1" thickBot="1">
      <c r="B79" s="3924" t="s">
        <v>579</v>
      </c>
      <c r="E79" s="3931">
        <v>0</v>
      </c>
      <c r="F79" s="3931">
        <v>0</v>
      </c>
      <c r="G79" s="3931">
        <f t="shared" si="8"/>
        <v>0</v>
      </c>
      <c r="H79" s="3931">
        <v>0</v>
      </c>
      <c r="I79" s="3931">
        <v>0</v>
      </c>
      <c r="L79" s="3936"/>
      <c r="M79" s="3936"/>
      <c r="Q79" s="4356">
        <f>SUM(Q70:Q78)</f>
        <v>680712</v>
      </c>
      <c r="R79" s="3927"/>
      <c r="S79" s="4357">
        <f>SUM(S70:S75)</f>
        <v>651187.99999999988</v>
      </c>
      <c r="T79" s="4359"/>
      <c r="V79" s="3936"/>
      <c r="W79" s="3936"/>
    </row>
    <row r="80" spans="1:23">
      <c r="B80" s="3932" t="s">
        <v>580</v>
      </c>
      <c r="C80" s="3932"/>
      <c r="D80" s="3932"/>
      <c r="E80" s="3933">
        <v>7851835</v>
      </c>
      <c r="F80" s="3933">
        <v>-212165</v>
      </c>
      <c r="G80" s="3933">
        <f t="shared" si="8"/>
        <v>7639670</v>
      </c>
      <c r="H80" s="3933">
        <f>7639670-S75</f>
        <v>7579857.8055447824</v>
      </c>
      <c r="I80" s="3933">
        <f>7639670-S75</f>
        <v>7579857.8055447824</v>
      </c>
      <c r="L80" s="3936"/>
      <c r="M80" s="3936"/>
      <c r="V80" s="3936"/>
      <c r="W80" s="3936"/>
    </row>
    <row r="81" spans="1:23">
      <c r="B81" s="3924" t="s">
        <v>581</v>
      </c>
      <c r="E81" s="3931">
        <v>207000</v>
      </c>
      <c r="F81" s="3931">
        <v>0</v>
      </c>
      <c r="G81" s="3931">
        <f t="shared" si="8"/>
        <v>207000</v>
      </c>
      <c r="H81" s="3933">
        <v>0</v>
      </c>
      <c r="I81" s="3933">
        <v>0</v>
      </c>
      <c r="L81" s="3936"/>
      <c r="M81" s="3936"/>
      <c r="V81" s="3936"/>
      <c r="W81" s="3936"/>
    </row>
    <row r="82" spans="1:23">
      <c r="B82" s="3932" t="s">
        <v>582</v>
      </c>
      <c r="C82" s="3932"/>
      <c r="D82" s="3932"/>
      <c r="E82" s="3933">
        <v>53369953</v>
      </c>
      <c r="F82" s="3933">
        <v>0</v>
      </c>
      <c r="G82" s="3933">
        <f t="shared" si="8"/>
        <v>53369953</v>
      </c>
      <c r="H82" s="3933">
        <v>47315346</v>
      </c>
      <c r="I82" s="3933">
        <v>39954462</v>
      </c>
      <c r="L82" s="3936"/>
      <c r="M82" s="3936"/>
      <c r="V82" s="3936"/>
      <c r="W82" s="3936"/>
    </row>
    <row r="83" spans="1:23">
      <c r="B83" s="3932" t="s">
        <v>583</v>
      </c>
      <c r="C83" s="3932"/>
      <c r="D83" s="3932"/>
      <c r="E83" s="3933">
        <v>156520749</v>
      </c>
      <c r="F83" s="3933">
        <v>0</v>
      </c>
      <c r="G83" s="3933">
        <f t="shared" si="8"/>
        <v>156520749</v>
      </c>
      <c r="H83" s="3933">
        <v>125273917</v>
      </c>
      <c r="I83" s="3933">
        <v>105785538</v>
      </c>
      <c r="L83" s="3936"/>
      <c r="M83" s="3936"/>
      <c r="V83" s="3936"/>
      <c r="W83" s="3936"/>
    </row>
    <row r="84" spans="1:23">
      <c r="B84" s="3932" t="s">
        <v>584</v>
      </c>
      <c r="C84" s="3932"/>
      <c r="D84" s="3932"/>
      <c r="E84" s="3933">
        <v>29109298</v>
      </c>
      <c r="F84" s="3933">
        <v>0</v>
      </c>
      <c r="G84" s="3933">
        <f t="shared" si="8"/>
        <v>29109298</v>
      </c>
      <c r="H84" s="3933">
        <v>109637450</v>
      </c>
      <c r="I84" s="3933">
        <v>120108163</v>
      </c>
      <c r="L84" s="3936"/>
      <c r="M84" s="3936"/>
      <c r="V84" s="3936"/>
      <c r="W84" s="3936"/>
    </row>
    <row r="85" spans="1:23">
      <c r="A85" s="3929" t="s">
        <v>585</v>
      </c>
      <c r="B85" s="3930"/>
      <c r="C85" s="3930"/>
      <c r="D85" s="3930"/>
      <c r="E85" s="3937"/>
      <c r="F85" s="3934"/>
      <c r="G85" s="3934"/>
      <c r="H85" s="3934"/>
      <c r="I85" s="3934"/>
      <c r="J85" s="3930"/>
      <c r="K85" s="3930"/>
      <c r="V85" s="3936"/>
      <c r="W85" s="3936"/>
    </row>
    <row r="86" spans="1:23">
      <c r="B86" s="3932" t="s">
        <v>586</v>
      </c>
      <c r="C86" s="3932"/>
      <c r="D86" s="3932"/>
      <c r="E86" s="3933">
        <v>0</v>
      </c>
      <c r="F86" s="3933">
        <v>0</v>
      </c>
      <c r="G86" s="3933">
        <f t="shared" si="8"/>
        <v>0</v>
      </c>
      <c r="H86" s="3933">
        <v>0</v>
      </c>
      <c r="I86" s="3933">
        <v>0</v>
      </c>
      <c r="V86" s="3936"/>
      <c r="W86" s="3936"/>
    </row>
    <row r="87" spans="1:23">
      <c r="B87" s="3932" t="s">
        <v>587</v>
      </c>
      <c r="C87" s="3932"/>
      <c r="D87" s="3932"/>
      <c r="E87" s="3933">
        <v>5048000</v>
      </c>
      <c r="F87" s="3933">
        <v>0</v>
      </c>
      <c r="G87" s="3933">
        <f t="shared" si="8"/>
        <v>5048000</v>
      </c>
      <c r="H87" s="3933">
        <v>4899000</v>
      </c>
      <c r="I87" s="3933">
        <v>4999000</v>
      </c>
    </row>
    <row r="88" spans="1:23">
      <c r="A88" s="3929" t="s">
        <v>588</v>
      </c>
      <c r="B88" s="3930"/>
      <c r="C88" s="3930"/>
      <c r="D88" s="3930"/>
      <c r="E88" s="3934"/>
      <c r="F88" s="3934"/>
      <c r="G88" s="3934"/>
      <c r="H88" s="3934"/>
      <c r="I88" s="3934"/>
      <c r="J88" s="3930"/>
      <c r="K88" s="3930"/>
    </row>
    <row r="89" spans="1:23">
      <c r="B89" s="3924" t="s">
        <v>589</v>
      </c>
      <c r="E89" s="3931">
        <v>1909998</v>
      </c>
      <c r="F89" s="3931">
        <f>E89*-0.03</f>
        <v>-57299.939999999995</v>
      </c>
      <c r="G89" s="3931">
        <f t="shared" ref="G89:G96" si="11">E89+F89</f>
        <v>1852698.06</v>
      </c>
      <c r="H89" s="3931">
        <v>1909998</v>
      </c>
      <c r="I89" s="3931">
        <f>H89</f>
        <v>1909998</v>
      </c>
      <c r="K89" s="3936"/>
    </row>
    <row r="90" spans="1:23">
      <c r="B90" s="3924" t="s">
        <v>939</v>
      </c>
      <c r="E90" s="3931">
        <v>0</v>
      </c>
      <c r="F90" s="3931">
        <v>0</v>
      </c>
      <c r="G90" s="3931">
        <f t="shared" si="11"/>
        <v>0</v>
      </c>
      <c r="H90" s="3933">
        <v>2500000</v>
      </c>
      <c r="I90" s="3933">
        <v>2500000</v>
      </c>
      <c r="K90" s="3924" t="s">
        <v>965</v>
      </c>
    </row>
    <row r="91" spans="1:23">
      <c r="B91" s="3924" t="s">
        <v>765</v>
      </c>
      <c r="E91" s="3931">
        <v>273550</v>
      </c>
      <c r="F91" s="3931">
        <v>-17183</v>
      </c>
      <c r="G91" s="3931">
        <f t="shared" si="11"/>
        <v>256367</v>
      </c>
      <c r="H91" s="3933">
        <v>0</v>
      </c>
      <c r="I91" s="3933">
        <v>0</v>
      </c>
    </row>
    <row r="92" spans="1:23">
      <c r="B92" s="3932" t="s">
        <v>590</v>
      </c>
      <c r="C92" s="3932"/>
      <c r="D92" s="3932"/>
      <c r="E92" s="3933">
        <v>1255224.75</v>
      </c>
      <c r="F92" s="3933">
        <v>-41317</v>
      </c>
      <c r="G92" s="3933">
        <f t="shared" si="11"/>
        <v>1213907.75</v>
      </c>
      <c r="H92" s="3933">
        <f>(G92+(G70+S69)+(G91-64600-41600))*1.035</f>
        <v>3001736.7562499996</v>
      </c>
      <c r="I92" s="3933">
        <f>H92</f>
        <v>3001736.7562499996</v>
      </c>
    </row>
    <row r="93" spans="1:23">
      <c r="B93" s="3932" t="s">
        <v>908</v>
      </c>
      <c r="C93" s="3932"/>
      <c r="D93" s="3932"/>
      <c r="E93" s="3933">
        <v>0</v>
      </c>
      <c r="F93" s="3933">
        <v>0</v>
      </c>
      <c r="G93" s="3933">
        <f t="shared" si="11"/>
        <v>0</v>
      </c>
      <c r="H93" s="3933">
        <v>725000</v>
      </c>
      <c r="I93" s="3933">
        <v>725000</v>
      </c>
    </row>
    <row r="94" spans="1:23">
      <c r="B94" s="3932" t="s">
        <v>929</v>
      </c>
      <c r="C94" s="3932"/>
      <c r="D94" s="3932"/>
      <c r="E94" s="3933">
        <v>0</v>
      </c>
      <c r="F94" s="3933">
        <v>0</v>
      </c>
      <c r="G94" s="3933">
        <f t="shared" si="11"/>
        <v>0</v>
      </c>
      <c r="H94" s="3933">
        <v>50000</v>
      </c>
      <c r="I94" s="3933">
        <v>50000</v>
      </c>
      <c r="K94" s="3924" t="s">
        <v>931</v>
      </c>
    </row>
    <row r="95" spans="1:23">
      <c r="B95" s="3932" t="s">
        <v>930</v>
      </c>
      <c r="C95" s="3932"/>
      <c r="D95" s="3932"/>
      <c r="E95" s="3933">
        <v>0</v>
      </c>
      <c r="F95" s="3933">
        <v>0</v>
      </c>
      <c r="G95" s="3933">
        <f t="shared" si="11"/>
        <v>0</v>
      </c>
      <c r="H95" s="3933">
        <v>20000</v>
      </c>
      <c r="I95" s="3933">
        <v>20000</v>
      </c>
      <c r="K95" s="3924" t="s">
        <v>931</v>
      </c>
    </row>
    <row r="96" spans="1:23">
      <c r="B96" s="3932" t="s">
        <v>591</v>
      </c>
      <c r="C96" s="3932"/>
      <c r="D96" s="3932"/>
      <c r="E96" s="3933">
        <v>1047649.0499999999</v>
      </c>
      <c r="F96" s="3933">
        <v>-33455</v>
      </c>
      <c r="G96" s="3933">
        <f t="shared" si="11"/>
        <v>1014194.0499999999</v>
      </c>
      <c r="H96" s="3933">
        <f>E96*1.035</f>
        <v>1084316.76675</v>
      </c>
      <c r="I96" s="3933">
        <f>H96</f>
        <v>1084316.76675</v>
      </c>
      <c r="O96" s="3935"/>
      <c r="P96" s="3935"/>
    </row>
    <row r="97" spans="1:24">
      <c r="A97" s="3938"/>
      <c r="B97" s="3938"/>
      <c r="C97" s="3938"/>
      <c r="D97" s="3938"/>
      <c r="E97" s="3939"/>
      <c r="F97" s="3939"/>
      <c r="G97" s="3939"/>
      <c r="H97" s="3939"/>
      <c r="I97" s="3939"/>
      <c r="J97" s="3938"/>
      <c r="K97" s="3938"/>
    </row>
    <row r="98" spans="1:24">
      <c r="B98" s="3924" t="s">
        <v>592</v>
      </c>
      <c r="E98" s="3931">
        <f>SUM(E8:E55)</f>
        <v>46940592.749999993</v>
      </c>
      <c r="F98" s="3931">
        <f t="shared" ref="F98:I98" si="12">SUM(F8:F55)</f>
        <v>0</v>
      </c>
      <c r="G98" s="3931">
        <f t="shared" si="12"/>
        <v>46940592.749999993</v>
      </c>
      <c r="H98" s="3931">
        <f>SUM(H8:H55)</f>
        <v>69546876.946999997</v>
      </c>
      <c r="I98" s="3931">
        <f t="shared" si="12"/>
        <v>68620870.657000005</v>
      </c>
      <c r="K98" s="4362"/>
    </row>
    <row r="99" spans="1:24">
      <c r="B99" s="3924" t="s">
        <v>917</v>
      </c>
      <c r="E99" s="3931">
        <f>SUM(E69:E84)</f>
        <v>280920073</v>
      </c>
      <c r="F99" s="3931">
        <f>SUM(F69:F84)</f>
        <v>-368621</v>
      </c>
      <c r="G99" s="3931">
        <f>SUM(G69:G84)</f>
        <v>280551452</v>
      </c>
      <c r="H99" s="3931">
        <f>SUM(H69:H84)</f>
        <v>324982470.9063555</v>
      </c>
      <c r="I99" s="3931">
        <f>SUM(I69:I84)</f>
        <v>311211259.9063555</v>
      </c>
    </row>
    <row r="100" spans="1:24">
      <c r="B100" s="3924" t="s">
        <v>593</v>
      </c>
      <c r="E100" s="3931">
        <f>SUM(E89:E96)+SUM(E57:E67)</f>
        <v>7521070.7999999998</v>
      </c>
      <c r="F100" s="3931">
        <f>SUM(F89:F96)+SUM(F57:F67)</f>
        <v>-149254.94</v>
      </c>
      <c r="G100" s="3931">
        <f>SUM(G89:G96)+SUM(G57:G67)</f>
        <v>7371815.8600000003</v>
      </c>
      <c r="H100" s="3931">
        <f>SUM(H89:H96)+SUM(H57:H67)</f>
        <v>12325700.523</v>
      </c>
      <c r="I100" s="3931">
        <f>SUM(I89:I96)+SUM(I57:I67)</f>
        <v>12325700.523</v>
      </c>
    </row>
    <row r="101" spans="1:24" ht="13.8" thickBot="1">
      <c r="A101" s="3940"/>
      <c r="B101" s="3940" t="s">
        <v>594</v>
      </c>
      <c r="C101" s="3940"/>
      <c r="D101" s="3940"/>
      <c r="E101" s="3941">
        <f>SUM(E86:E87)</f>
        <v>5048000</v>
      </c>
      <c r="F101" s="3941">
        <f>SUM(F86:F87)</f>
        <v>0</v>
      </c>
      <c r="G101" s="3941">
        <f>SUM(G86:G87)</f>
        <v>5048000</v>
      </c>
      <c r="H101" s="3941">
        <f>SUM(H86:H87)</f>
        <v>4899000</v>
      </c>
      <c r="I101" s="3941">
        <f>SUM(I86:I87)</f>
        <v>4999000</v>
      </c>
      <c r="J101" s="3940"/>
      <c r="K101" s="3940"/>
    </row>
    <row r="102" spans="1:24" s="3942" customFormat="1" ht="13.8" thickTop="1">
      <c r="B102" s="3942" t="s">
        <v>595</v>
      </c>
      <c r="E102" s="3943">
        <f>SUM(E98:E101)</f>
        <v>340429736.55000001</v>
      </c>
      <c r="F102" s="3943">
        <f>SUM(F98:F101)</f>
        <v>-517875.94</v>
      </c>
      <c r="G102" s="3943">
        <f>SUM(G98:G101)</f>
        <v>339911860.61000001</v>
      </c>
      <c r="H102" s="3943">
        <f>SUM(H98:H101)</f>
        <v>411754048.37635553</v>
      </c>
      <c r="I102" s="3943">
        <f>SUM(I98:I101)</f>
        <v>397156831.08635551</v>
      </c>
      <c r="X102" s="3544"/>
    </row>
    <row r="103" spans="1:24" hidden="1">
      <c r="E103" s="3931"/>
      <c r="F103" s="3931"/>
      <c r="G103" s="3931"/>
      <c r="H103" s="3936">
        <f>H102-G102</f>
        <v>71842187.766355515</v>
      </c>
      <c r="I103" s="3936">
        <f>I102-H102</f>
        <v>-14597217.290000021</v>
      </c>
    </row>
    <row r="104" spans="1:24" hidden="1">
      <c r="G104" s="3944" t="s">
        <v>596</v>
      </c>
      <c r="H104" s="3931">
        <f>G102-H102</f>
        <v>-71842187.766355515</v>
      </c>
      <c r="I104" s="3931">
        <f>G102-I102</f>
        <v>-57244970.476355493</v>
      </c>
    </row>
    <row r="105" spans="1:24">
      <c r="D105" s="4343" t="s">
        <v>869</v>
      </c>
      <c r="E105" s="4344">
        <f>E102-E17-E18-E20-E21-E34-E35-E61-E62-E63-E64-E65-E66-E67-E94-E95</f>
        <v>334814602.55000001</v>
      </c>
      <c r="F105" s="4344">
        <f t="shared" ref="F105:I105" si="13">F102-F17-F18-F20-F21-F34-F35-F61-F62-F63-F64-F65-F66-F67-F94-F95</f>
        <v>-517875.94</v>
      </c>
      <c r="G105" s="4344">
        <f t="shared" si="13"/>
        <v>334296726.61000001</v>
      </c>
      <c r="H105" s="4344">
        <f t="shared" si="13"/>
        <v>406020200.37635553</v>
      </c>
      <c r="I105" s="4344">
        <f t="shared" si="13"/>
        <v>391469729.08635551</v>
      </c>
    </row>
    <row r="106" spans="1:24">
      <c r="D106" s="4343" t="s">
        <v>870</v>
      </c>
      <c r="E106" s="4344">
        <f>E102-E105</f>
        <v>5615134</v>
      </c>
      <c r="F106" s="4344">
        <f t="shared" ref="F106:I106" si="14">F102-F105</f>
        <v>0</v>
      </c>
      <c r="G106" s="4344">
        <f t="shared" si="14"/>
        <v>5615134</v>
      </c>
      <c r="H106" s="4344">
        <f t="shared" si="14"/>
        <v>5733848</v>
      </c>
      <c r="I106" s="4344">
        <f t="shared" si="14"/>
        <v>5687102</v>
      </c>
    </row>
    <row r="107" spans="1:24" ht="12.75" hidden="1" customHeight="1">
      <c r="E107" s="4420" t="s">
        <v>597</v>
      </c>
      <c r="F107" s="4420"/>
      <c r="H107" s="4420" t="s">
        <v>598</v>
      </c>
      <c r="I107" s="4420"/>
      <c r="K107" s="4393" t="s">
        <v>599</v>
      </c>
      <c r="L107" s="4420" t="s">
        <v>597</v>
      </c>
      <c r="M107" s="4420"/>
    </row>
    <row r="108" spans="1:24" hidden="1">
      <c r="C108" s="3945" t="s">
        <v>600</v>
      </c>
      <c r="D108" s="3945" t="s">
        <v>601</v>
      </c>
      <c r="E108" s="3945" t="s">
        <v>600</v>
      </c>
      <c r="F108" s="3945" t="s">
        <v>601</v>
      </c>
      <c r="H108" s="3945" t="s">
        <v>600</v>
      </c>
      <c r="I108" s="3945" t="s">
        <v>601</v>
      </c>
      <c r="K108" s="3945" t="s">
        <v>600</v>
      </c>
      <c r="L108" s="3945" t="s">
        <v>600</v>
      </c>
      <c r="M108" s="3945" t="s">
        <v>601</v>
      </c>
    </row>
    <row r="109" spans="1:24" hidden="1">
      <c r="B109" s="3942" t="s">
        <v>602</v>
      </c>
      <c r="C109" s="3931">
        <v>319288343.94999999</v>
      </c>
      <c r="D109" s="3931">
        <v>318853980.94999999</v>
      </c>
      <c r="H109" s="3931">
        <f>1000000*0.85</f>
        <v>850000</v>
      </c>
      <c r="I109" s="3931">
        <f>H109</f>
        <v>850000</v>
      </c>
      <c r="J109" s="3931"/>
      <c r="K109" s="3931">
        <f>2000000*0.85</f>
        <v>1700000</v>
      </c>
      <c r="L109" s="3936" t="e">
        <f>#REF!-$C$109</f>
        <v>#REF!</v>
      </c>
      <c r="M109" s="3936" t="e">
        <f>#REF!-$D$109</f>
        <v>#REF!</v>
      </c>
    </row>
    <row r="110" spans="1:24" hidden="1">
      <c r="B110" s="3942" t="s">
        <v>603</v>
      </c>
      <c r="C110" s="3931">
        <v>321411996.55000001</v>
      </c>
      <c r="D110" s="3931">
        <v>320977633.55000001</v>
      </c>
      <c r="E110" s="3936">
        <f>C110-$C$109</f>
        <v>2123652.6000000238</v>
      </c>
      <c r="F110" s="3936">
        <f>D110-$D$109</f>
        <v>2123652.6000000238</v>
      </c>
      <c r="H110" s="3931">
        <f>1000000*0.9</f>
        <v>900000</v>
      </c>
      <c r="I110" s="3931">
        <f>H110</f>
        <v>900000</v>
      </c>
      <c r="J110" s="3931"/>
      <c r="K110" s="3931">
        <f>2000000*0.9</f>
        <v>1800000</v>
      </c>
      <c r="L110" s="3936" t="e">
        <f>#REF!-$C$109</f>
        <v>#REF!</v>
      </c>
      <c r="M110" s="3936" t="e">
        <f>#REF!-$D$109</f>
        <v>#REF!</v>
      </c>
    </row>
    <row r="111" spans="1:24" hidden="1">
      <c r="B111" s="3942" t="s">
        <v>604</v>
      </c>
      <c r="C111" s="3931">
        <v>323535649.15000004</v>
      </c>
      <c r="D111" s="3931">
        <v>323101286.15000004</v>
      </c>
      <c r="E111" s="3936">
        <f>C111-$C$109</f>
        <v>4247305.2000000477</v>
      </c>
      <c r="F111" s="3936">
        <f>D111-$D$109</f>
        <v>4247305.2000000477</v>
      </c>
      <c r="H111" s="3931">
        <f>1000000*0.95</f>
        <v>950000</v>
      </c>
      <c r="I111" s="3931">
        <f>H111</f>
        <v>950000</v>
      </c>
      <c r="J111" s="3931"/>
      <c r="K111" s="3931">
        <f>2000000*0.95</f>
        <v>1900000</v>
      </c>
      <c r="L111" s="3936" t="e">
        <f>#REF!-$C$109</f>
        <v>#REF!</v>
      </c>
      <c r="M111" s="3936" t="e">
        <f>#REF!-$D$109</f>
        <v>#REF!</v>
      </c>
    </row>
    <row r="112" spans="1:24" hidden="1">
      <c r="B112" s="3942" t="s">
        <v>605</v>
      </c>
      <c r="C112" s="3931">
        <v>325659301.75</v>
      </c>
      <c r="D112" s="3931">
        <v>325224938.75</v>
      </c>
      <c r="E112" s="3936">
        <f>C112-$C$109</f>
        <v>6370957.8000000119</v>
      </c>
      <c r="F112" s="3936">
        <f>D112-$D$109</f>
        <v>6370957.8000000119</v>
      </c>
      <c r="H112" s="3931">
        <v>1000000</v>
      </c>
      <c r="I112" s="3931">
        <f>H112</f>
        <v>1000000</v>
      </c>
      <c r="J112" s="3931"/>
      <c r="K112" s="3931">
        <v>2000000</v>
      </c>
      <c r="L112" s="3936" t="e">
        <f>#REF!-$C$109</f>
        <v>#REF!</v>
      </c>
      <c r="M112" s="3936" t="e">
        <f>#REF!-$D$109</f>
        <v>#REF!</v>
      </c>
    </row>
    <row r="113" spans="4:11" ht="12.75" hidden="1" customHeight="1">
      <c r="K113" s="4394" t="s">
        <v>874</v>
      </c>
    </row>
    <row r="114" spans="4:11" hidden="1">
      <c r="D114" s="3924" t="s">
        <v>873</v>
      </c>
      <c r="E114" s="3936">
        <f>E70+E73+E91+E92+E96+E93</f>
        <v>5381142.7999999998</v>
      </c>
      <c r="F114" s="3936">
        <f t="shared" ref="F114:I114" si="15">F70+F73+F91+F92+F96+F93</f>
        <v>-176096</v>
      </c>
      <c r="G114" s="3936">
        <f t="shared" si="15"/>
        <v>5205046.8</v>
      </c>
      <c r="H114" s="3936">
        <f t="shared" si="15"/>
        <v>6710911.943</v>
      </c>
      <c r="I114" s="3936">
        <f t="shared" si="15"/>
        <v>6710911.943</v>
      </c>
      <c r="K114" s="4345">
        <f>(I114-G114)</f>
        <v>1505865.1430000002</v>
      </c>
    </row>
    <row r="116" spans="4:11">
      <c r="E116" s="3936"/>
      <c r="F116" s="3936"/>
      <c r="G116" s="3936"/>
      <c r="H116" s="3936"/>
      <c r="I116" s="3936"/>
      <c r="K116" s="3936"/>
    </row>
  </sheetData>
  <mergeCells count="7">
    <mergeCell ref="L107:M107"/>
    <mergeCell ref="A1:K1"/>
    <mergeCell ref="A2:K2"/>
    <mergeCell ref="A3:K3"/>
    <mergeCell ref="A4:K4"/>
    <mergeCell ref="E107:F107"/>
    <mergeCell ref="H107:I107"/>
  </mergeCells>
  <pageMargins left="0.25" right="0.25" top="0.75" bottom="0.75" header="0.3" footer="0.3"/>
  <pageSetup scale="60" orientation="landscape" r:id="rId1"/>
  <headerFooter>
    <oddFooter>&amp;LHouse Ways and Means Cmte Amendment 1001 2-14-13&amp;R&amp;D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85" zoomScaleNormal="85" workbookViewId="0">
      <selection activeCell="A3" sqref="A3:E3"/>
    </sheetView>
  </sheetViews>
  <sheetFormatPr defaultRowHeight="13.2"/>
  <cols>
    <col min="1" max="1" width="8.44140625" style="3946" customWidth="1"/>
    <col min="2" max="2" width="22" style="3946" customWidth="1"/>
    <col min="3" max="3" width="12.6640625" style="3946" customWidth="1"/>
    <col min="4" max="5" width="12.33203125" style="3946" bestFit="1" customWidth="1"/>
    <col min="6" max="6" width="9.109375" style="3946"/>
    <col min="7" max="7" width="10.33203125" style="3946" bestFit="1" customWidth="1"/>
    <col min="8" max="208" width="9.109375" style="3946"/>
    <col min="209" max="209" width="4.33203125" style="3946" customWidth="1"/>
    <col min="210" max="210" width="9.109375" style="3946"/>
    <col min="211" max="211" width="4.33203125" style="3946" customWidth="1"/>
    <col min="212" max="216" width="0" style="3946" hidden="1" customWidth="1"/>
    <col min="217" max="217" width="12.6640625" style="3946" customWidth="1"/>
    <col min="218" max="218" width="14.6640625" style="3946" bestFit="1" customWidth="1"/>
    <col min="219" max="219" width="13.88671875" style="3946" bestFit="1" customWidth="1"/>
    <col min="220" max="220" width="16.6640625" style="3946" bestFit="1" customWidth="1"/>
    <col min="221" max="221" width="12.6640625" style="3946" customWidth="1"/>
    <col min="222" max="222" width="14.6640625" style="3946" bestFit="1" customWidth="1"/>
    <col min="223" max="223" width="13.44140625" style="3946" bestFit="1" customWidth="1"/>
    <col min="224" max="224" width="16.6640625" style="3946" bestFit="1" customWidth="1"/>
    <col min="225" max="225" width="2" style="3946" customWidth="1"/>
    <col min="226" max="258" width="0" style="3946" hidden="1" customWidth="1"/>
    <col min="259" max="464" width="9.109375" style="3946"/>
    <col min="465" max="465" width="4.33203125" style="3946" customWidth="1"/>
    <col min="466" max="466" width="9.109375" style="3946"/>
    <col min="467" max="467" width="4.33203125" style="3946" customWidth="1"/>
    <col min="468" max="472" width="0" style="3946" hidden="1" customWidth="1"/>
    <col min="473" max="473" width="12.6640625" style="3946" customWidth="1"/>
    <col min="474" max="474" width="14.6640625" style="3946" bestFit="1" customWidth="1"/>
    <col min="475" max="475" width="13.88671875" style="3946" bestFit="1" customWidth="1"/>
    <col min="476" max="476" width="16.6640625" style="3946" bestFit="1" customWidth="1"/>
    <col min="477" max="477" width="12.6640625" style="3946" customWidth="1"/>
    <col min="478" max="478" width="14.6640625" style="3946" bestFit="1" customWidth="1"/>
    <col min="479" max="479" width="13.44140625" style="3946" bestFit="1" customWidth="1"/>
    <col min="480" max="480" width="16.6640625" style="3946" bestFit="1" customWidth="1"/>
    <col min="481" max="481" width="2" style="3946" customWidth="1"/>
    <col min="482" max="514" width="0" style="3946" hidden="1" customWidth="1"/>
    <col min="515" max="720" width="9.109375" style="3946"/>
    <col min="721" max="721" width="4.33203125" style="3946" customWidth="1"/>
    <col min="722" max="722" width="9.109375" style="3946"/>
    <col min="723" max="723" width="4.33203125" style="3946" customWidth="1"/>
    <col min="724" max="728" width="0" style="3946" hidden="1" customWidth="1"/>
    <col min="729" max="729" width="12.6640625" style="3946" customWidth="1"/>
    <col min="730" max="730" width="14.6640625" style="3946" bestFit="1" customWidth="1"/>
    <col min="731" max="731" width="13.88671875" style="3946" bestFit="1" customWidth="1"/>
    <col min="732" max="732" width="16.6640625" style="3946" bestFit="1" customWidth="1"/>
    <col min="733" max="733" width="12.6640625" style="3946" customWidth="1"/>
    <col min="734" max="734" width="14.6640625" style="3946" bestFit="1" customWidth="1"/>
    <col min="735" max="735" width="13.44140625" style="3946" bestFit="1" customWidth="1"/>
    <col min="736" max="736" width="16.6640625" style="3946" bestFit="1" customWidth="1"/>
    <col min="737" max="737" width="2" style="3946" customWidth="1"/>
    <col min="738" max="770" width="0" style="3946" hidden="1" customWidth="1"/>
    <col min="771" max="976" width="9.109375" style="3946"/>
    <col min="977" max="977" width="4.33203125" style="3946" customWidth="1"/>
    <col min="978" max="978" width="9.109375" style="3946"/>
    <col min="979" max="979" width="4.33203125" style="3946" customWidth="1"/>
    <col min="980" max="984" width="0" style="3946" hidden="1" customWidth="1"/>
    <col min="985" max="985" width="12.6640625" style="3946" customWidth="1"/>
    <col min="986" max="986" width="14.6640625" style="3946" bestFit="1" customWidth="1"/>
    <col min="987" max="987" width="13.88671875" style="3946" bestFit="1" customWidth="1"/>
    <col min="988" max="988" width="16.6640625" style="3946" bestFit="1" customWidth="1"/>
    <col min="989" max="989" width="12.6640625" style="3946" customWidth="1"/>
    <col min="990" max="990" width="14.6640625" style="3946" bestFit="1" customWidth="1"/>
    <col min="991" max="991" width="13.44140625" style="3946" bestFit="1" customWidth="1"/>
    <col min="992" max="992" width="16.6640625" style="3946" bestFit="1" customWidth="1"/>
    <col min="993" max="993" width="2" style="3946" customWidth="1"/>
    <col min="994" max="1026" width="0" style="3946" hidden="1" customWidth="1"/>
    <col min="1027" max="1232" width="9.109375" style="3946"/>
    <col min="1233" max="1233" width="4.33203125" style="3946" customWidth="1"/>
    <col min="1234" max="1234" width="9.109375" style="3946"/>
    <col min="1235" max="1235" width="4.33203125" style="3946" customWidth="1"/>
    <col min="1236" max="1240" width="0" style="3946" hidden="1" customWidth="1"/>
    <col min="1241" max="1241" width="12.6640625" style="3946" customWidth="1"/>
    <col min="1242" max="1242" width="14.6640625" style="3946" bestFit="1" customWidth="1"/>
    <col min="1243" max="1243" width="13.88671875" style="3946" bestFit="1" customWidth="1"/>
    <col min="1244" max="1244" width="16.6640625" style="3946" bestFit="1" customWidth="1"/>
    <col min="1245" max="1245" width="12.6640625" style="3946" customWidth="1"/>
    <col min="1246" max="1246" width="14.6640625" style="3946" bestFit="1" customWidth="1"/>
    <col min="1247" max="1247" width="13.44140625" style="3946" bestFit="1" customWidth="1"/>
    <col min="1248" max="1248" width="16.6640625" style="3946" bestFit="1" customWidth="1"/>
    <col min="1249" max="1249" width="2" style="3946" customWidth="1"/>
    <col min="1250" max="1282" width="0" style="3946" hidden="1" customWidth="1"/>
    <col min="1283" max="1488" width="9.109375" style="3946"/>
    <col min="1489" max="1489" width="4.33203125" style="3946" customWidth="1"/>
    <col min="1490" max="1490" width="9.109375" style="3946"/>
    <col min="1491" max="1491" width="4.33203125" style="3946" customWidth="1"/>
    <col min="1492" max="1496" width="0" style="3946" hidden="1" customWidth="1"/>
    <col min="1497" max="1497" width="12.6640625" style="3946" customWidth="1"/>
    <col min="1498" max="1498" width="14.6640625" style="3946" bestFit="1" customWidth="1"/>
    <col min="1499" max="1499" width="13.88671875" style="3946" bestFit="1" customWidth="1"/>
    <col min="1500" max="1500" width="16.6640625" style="3946" bestFit="1" customWidth="1"/>
    <col min="1501" max="1501" width="12.6640625" style="3946" customWidth="1"/>
    <col min="1502" max="1502" width="14.6640625" style="3946" bestFit="1" customWidth="1"/>
    <col min="1503" max="1503" width="13.44140625" style="3946" bestFit="1" customWidth="1"/>
    <col min="1504" max="1504" width="16.6640625" style="3946" bestFit="1" customWidth="1"/>
    <col min="1505" max="1505" width="2" style="3946" customWidth="1"/>
    <col min="1506" max="1538" width="0" style="3946" hidden="1" customWidth="1"/>
    <col min="1539" max="1744" width="9.109375" style="3946"/>
    <col min="1745" max="1745" width="4.33203125" style="3946" customWidth="1"/>
    <col min="1746" max="1746" width="9.109375" style="3946"/>
    <col min="1747" max="1747" width="4.33203125" style="3946" customWidth="1"/>
    <col min="1748" max="1752" width="0" style="3946" hidden="1" customWidth="1"/>
    <col min="1753" max="1753" width="12.6640625" style="3946" customWidth="1"/>
    <col min="1754" max="1754" width="14.6640625" style="3946" bestFit="1" customWidth="1"/>
    <col min="1755" max="1755" width="13.88671875" style="3946" bestFit="1" customWidth="1"/>
    <col min="1756" max="1756" width="16.6640625" style="3946" bestFit="1" customWidth="1"/>
    <col min="1757" max="1757" width="12.6640625" style="3946" customWidth="1"/>
    <col min="1758" max="1758" width="14.6640625" style="3946" bestFit="1" customWidth="1"/>
    <col min="1759" max="1759" width="13.44140625" style="3946" bestFit="1" customWidth="1"/>
    <col min="1760" max="1760" width="16.6640625" style="3946" bestFit="1" customWidth="1"/>
    <col min="1761" max="1761" width="2" style="3946" customWidth="1"/>
    <col min="1762" max="1794" width="0" style="3946" hidden="1" customWidth="1"/>
    <col min="1795" max="2000" width="9.109375" style="3946"/>
    <col min="2001" max="2001" width="4.33203125" style="3946" customWidth="1"/>
    <col min="2002" max="2002" width="9.109375" style="3946"/>
    <col min="2003" max="2003" width="4.33203125" style="3946" customWidth="1"/>
    <col min="2004" max="2008" width="0" style="3946" hidden="1" customWidth="1"/>
    <col min="2009" max="2009" width="12.6640625" style="3946" customWidth="1"/>
    <col min="2010" max="2010" width="14.6640625" style="3946" bestFit="1" customWidth="1"/>
    <col min="2011" max="2011" width="13.88671875" style="3946" bestFit="1" customWidth="1"/>
    <col min="2012" max="2012" width="16.6640625" style="3946" bestFit="1" customWidth="1"/>
    <col min="2013" max="2013" width="12.6640625" style="3946" customWidth="1"/>
    <col min="2014" max="2014" width="14.6640625" style="3946" bestFit="1" customWidth="1"/>
    <col min="2015" max="2015" width="13.44140625" style="3946" bestFit="1" customWidth="1"/>
    <col min="2016" max="2016" width="16.6640625" style="3946" bestFit="1" customWidth="1"/>
    <col min="2017" max="2017" width="2" style="3946" customWidth="1"/>
    <col min="2018" max="2050" width="0" style="3946" hidden="1" customWidth="1"/>
    <col min="2051" max="2256" width="9.109375" style="3946"/>
    <col min="2257" max="2257" width="4.33203125" style="3946" customWidth="1"/>
    <col min="2258" max="2258" width="9.109375" style="3946"/>
    <col min="2259" max="2259" width="4.33203125" style="3946" customWidth="1"/>
    <col min="2260" max="2264" width="0" style="3946" hidden="1" customWidth="1"/>
    <col min="2265" max="2265" width="12.6640625" style="3946" customWidth="1"/>
    <col min="2266" max="2266" width="14.6640625" style="3946" bestFit="1" customWidth="1"/>
    <col min="2267" max="2267" width="13.88671875" style="3946" bestFit="1" customWidth="1"/>
    <col min="2268" max="2268" width="16.6640625" style="3946" bestFit="1" customWidth="1"/>
    <col min="2269" max="2269" width="12.6640625" style="3946" customWidth="1"/>
    <col min="2270" max="2270" width="14.6640625" style="3946" bestFit="1" customWidth="1"/>
    <col min="2271" max="2271" width="13.44140625" style="3946" bestFit="1" customWidth="1"/>
    <col min="2272" max="2272" width="16.6640625" style="3946" bestFit="1" customWidth="1"/>
    <col min="2273" max="2273" width="2" style="3946" customWidth="1"/>
    <col min="2274" max="2306" width="0" style="3946" hidden="1" customWidth="1"/>
    <col min="2307" max="2512" width="9.109375" style="3946"/>
    <col min="2513" max="2513" width="4.33203125" style="3946" customWidth="1"/>
    <col min="2514" max="2514" width="9.109375" style="3946"/>
    <col min="2515" max="2515" width="4.33203125" style="3946" customWidth="1"/>
    <col min="2516" max="2520" width="0" style="3946" hidden="1" customWidth="1"/>
    <col min="2521" max="2521" width="12.6640625" style="3946" customWidth="1"/>
    <col min="2522" max="2522" width="14.6640625" style="3946" bestFit="1" customWidth="1"/>
    <col min="2523" max="2523" width="13.88671875" style="3946" bestFit="1" customWidth="1"/>
    <col min="2524" max="2524" width="16.6640625" style="3946" bestFit="1" customWidth="1"/>
    <col min="2525" max="2525" width="12.6640625" style="3946" customWidth="1"/>
    <col min="2526" max="2526" width="14.6640625" style="3946" bestFit="1" customWidth="1"/>
    <col min="2527" max="2527" width="13.44140625" style="3946" bestFit="1" customWidth="1"/>
    <col min="2528" max="2528" width="16.6640625" style="3946" bestFit="1" customWidth="1"/>
    <col min="2529" max="2529" width="2" style="3946" customWidth="1"/>
    <col min="2530" max="2562" width="0" style="3946" hidden="1" customWidth="1"/>
    <col min="2563" max="2768" width="9.109375" style="3946"/>
    <col min="2769" max="2769" width="4.33203125" style="3946" customWidth="1"/>
    <col min="2770" max="2770" width="9.109375" style="3946"/>
    <col min="2771" max="2771" width="4.33203125" style="3946" customWidth="1"/>
    <col min="2772" max="2776" width="0" style="3946" hidden="1" customWidth="1"/>
    <col min="2777" max="2777" width="12.6640625" style="3946" customWidth="1"/>
    <col min="2778" max="2778" width="14.6640625" style="3946" bestFit="1" customWidth="1"/>
    <col min="2779" max="2779" width="13.88671875" style="3946" bestFit="1" customWidth="1"/>
    <col min="2780" max="2780" width="16.6640625" style="3946" bestFit="1" customWidth="1"/>
    <col min="2781" max="2781" width="12.6640625" style="3946" customWidth="1"/>
    <col min="2782" max="2782" width="14.6640625" style="3946" bestFit="1" customWidth="1"/>
    <col min="2783" max="2783" width="13.44140625" style="3946" bestFit="1" customWidth="1"/>
    <col min="2784" max="2784" width="16.6640625" style="3946" bestFit="1" customWidth="1"/>
    <col min="2785" max="2785" width="2" style="3946" customWidth="1"/>
    <col min="2786" max="2818" width="0" style="3946" hidden="1" customWidth="1"/>
    <col min="2819" max="3024" width="9.109375" style="3946"/>
    <col min="3025" max="3025" width="4.33203125" style="3946" customWidth="1"/>
    <col min="3026" max="3026" width="9.109375" style="3946"/>
    <col min="3027" max="3027" width="4.33203125" style="3946" customWidth="1"/>
    <col min="3028" max="3032" width="0" style="3946" hidden="1" customWidth="1"/>
    <col min="3033" max="3033" width="12.6640625" style="3946" customWidth="1"/>
    <col min="3034" max="3034" width="14.6640625" style="3946" bestFit="1" customWidth="1"/>
    <col min="3035" max="3035" width="13.88671875" style="3946" bestFit="1" customWidth="1"/>
    <col min="3036" max="3036" width="16.6640625" style="3946" bestFit="1" customWidth="1"/>
    <col min="3037" max="3037" width="12.6640625" style="3946" customWidth="1"/>
    <col min="3038" max="3038" width="14.6640625" style="3946" bestFit="1" customWidth="1"/>
    <col min="3039" max="3039" width="13.44140625" style="3946" bestFit="1" customWidth="1"/>
    <col min="3040" max="3040" width="16.6640625" style="3946" bestFit="1" customWidth="1"/>
    <col min="3041" max="3041" width="2" style="3946" customWidth="1"/>
    <col min="3042" max="3074" width="0" style="3946" hidden="1" customWidth="1"/>
    <col min="3075" max="3280" width="9.109375" style="3946"/>
    <col min="3281" max="3281" width="4.33203125" style="3946" customWidth="1"/>
    <col min="3282" max="3282" width="9.109375" style="3946"/>
    <col min="3283" max="3283" width="4.33203125" style="3946" customWidth="1"/>
    <col min="3284" max="3288" width="0" style="3946" hidden="1" customWidth="1"/>
    <col min="3289" max="3289" width="12.6640625" style="3946" customWidth="1"/>
    <col min="3290" max="3290" width="14.6640625" style="3946" bestFit="1" customWidth="1"/>
    <col min="3291" max="3291" width="13.88671875" style="3946" bestFit="1" customWidth="1"/>
    <col min="3292" max="3292" width="16.6640625" style="3946" bestFit="1" customWidth="1"/>
    <col min="3293" max="3293" width="12.6640625" style="3946" customWidth="1"/>
    <col min="3294" max="3294" width="14.6640625" style="3946" bestFit="1" customWidth="1"/>
    <col min="3295" max="3295" width="13.44140625" style="3946" bestFit="1" customWidth="1"/>
    <col min="3296" max="3296" width="16.6640625" style="3946" bestFit="1" customWidth="1"/>
    <col min="3297" max="3297" width="2" style="3946" customWidth="1"/>
    <col min="3298" max="3330" width="0" style="3946" hidden="1" customWidth="1"/>
    <col min="3331" max="3536" width="9.109375" style="3946"/>
    <col min="3537" max="3537" width="4.33203125" style="3946" customWidth="1"/>
    <col min="3538" max="3538" width="9.109375" style="3946"/>
    <col min="3539" max="3539" width="4.33203125" style="3946" customWidth="1"/>
    <col min="3540" max="3544" width="0" style="3946" hidden="1" customWidth="1"/>
    <col min="3545" max="3545" width="12.6640625" style="3946" customWidth="1"/>
    <col min="3546" max="3546" width="14.6640625" style="3946" bestFit="1" customWidth="1"/>
    <col min="3547" max="3547" width="13.88671875" style="3946" bestFit="1" customWidth="1"/>
    <col min="3548" max="3548" width="16.6640625" style="3946" bestFit="1" customWidth="1"/>
    <col min="3549" max="3549" width="12.6640625" style="3946" customWidth="1"/>
    <col min="3550" max="3550" width="14.6640625" style="3946" bestFit="1" customWidth="1"/>
    <col min="3551" max="3551" width="13.44140625" style="3946" bestFit="1" customWidth="1"/>
    <col min="3552" max="3552" width="16.6640625" style="3946" bestFit="1" customWidth="1"/>
    <col min="3553" max="3553" width="2" style="3946" customWidth="1"/>
    <col min="3554" max="3586" width="0" style="3946" hidden="1" customWidth="1"/>
    <col min="3587" max="3792" width="9.109375" style="3946"/>
    <col min="3793" max="3793" width="4.33203125" style="3946" customWidth="1"/>
    <col min="3794" max="3794" width="9.109375" style="3946"/>
    <col min="3795" max="3795" width="4.33203125" style="3946" customWidth="1"/>
    <col min="3796" max="3800" width="0" style="3946" hidden="1" customWidth="1"/>
    <col min="3801" max="3801" width="12.6640625" style="3946" customWidth="1"/>
    <col min="3802" max="3802" width="14.6640625" style="3946" bestFit="1" customWidth="1"/>
    <col min="3803" max="3803" width="13.88671875" style="3946" bestFit="1" customWidth="1"/>
    <col min="3804" max="3804" width="16.6640625" style="3946" bestFit="1" customWidth="1"/>
    <col min="3805" max="3805" width="12.6640625" style="3946" customWidth="1"/>
    <col min="3806" max="3806" width="14.6640625" style="3946" bestFit="1" customWidth="1"/>
    <col min="3807" max="3807" width="13.44140625" style="3946" bestFit="1" customWidth="1"/>
    <col min="3808" max="3808" width="16.6640625" style="3946" bestFit="1" customWidth="1"/>
    <col min="3809" max="3809" width="2" style="3946" customWidth="1"/>
    <col min="3810" max="3842" width="0" style="3946" hidden="1" customWidth="1"/>
    <col min="3843" max="4048" width="9.109375" style="3946"/>
    <col min="4049" max="4049" width="4.33203125" style="3946" customWidth="1"/>
    <col min="4050" max="4050" width="9.109375" style="3946"/>
    <col min="4051" max="4051" width="4.33203125" style="3946" customWidth="1"/>
    <col min="4052" max="4056" width="0" style="3946" hidden="1" customWidth="1"/>
    <col min="4057" max="4057" width="12.6640625" style="3946" customWidth="1"/>
    <col min="4058" max="4058" width="14.6640625" style="3946" bestFit="1" customWidth="1"/>
    <col min="4059" max="4059" width="13.88671875" style="3946" bestFit="1" customWidth="1"/>
    <col min="4060" max="4060" width="16.6640625" style="3946" bestFit="1" customWidth="1"/>
    <col min="4061" max="4061" width="12.6640625" style="3946" customWidth="1"/>
    <col min="4062" max="4062" width="14.6640625" style="3946" bestFit="1" customWidth="1"/>
    <col min="4063" max="4063" width="13.44140625" style="3946" bestFit="1" customWidth="1"/>
    <col min="4064" max="4064" width="16.6640625" style="3946" bestFit="1" customWidth="1"/>
    <col min="4065" max="4065" width="2" style="3946" customWidth="1"/>
    <col min="4066" max="4098" width="0" style="3946" hidden="1" customWidth="1"/>
    <col min="4099" max="4304" width="9.109375" style="3946"/>
    <col min="4305" max="4305" width="4.33203125" style="3946" customWidth="1"/>
    <col min="4306" max="4306" width="9.109375" style="3946"/>
    <col min="4307" max="4307" width="4.33203125" style="3946" customWidth="1"/>
    <col min="4308" max="4312" width="0" style="3946" hidden="1" customWidth="1"/>
    <col min="4313" max="4313" width="12.6640625" style="3946" customWidth="1"/>
    <col min="4314" max="4314" width="14.6640625" style="3946" bestFit="1" customWidth="1"/>
    <col min="4315" max="4315" width="13.88671875" style="3946" bestFit="1" customWidth="1"/>
    <col min="4316" max="4316" width="16.6640625" style="3946" bestFit="1" customWidth="1"/>
    <col min="4317" max="4317" width="12.6640625" style="3946" customWidth="1"/>
    <col min="4318" max="4318" width="14.6640625" style="3946" bestFit="1" customWidth="1"/>
    <col min="4319" max="4319" width="13.44140625" style="3946" bestFit="1" customWidth="1"/>
    <col min="4320" max="4320" width="16.6640625" style="3946" bestFit="1" customWidth="1"/>
    <col min="4321" max="4321" width="2" style="3946" customWidth="1"/>
    <col min="4322" max="4354" width="0" style="3946" hidden="1" customWidth="1"/>
    <col min="4355" max="4560" width="9.109375" style="3946"/>
    <col min="4561" max="4561" width="4.33203125" style="3946" customWidth="1"/>
    <col min="4562" max="4562" width="9.109375" style="3946"/>
    <col min="4563" max="4563" width="4.33203125" style="3946" customWidth="1"/>
    <col min="4564" max="4568" width="0" style="3946" hidden="1" customWidth="1"/>
    <col min="4569" max="4569" width="12.6640625" style="3946" customWidth="1"/>
    <col min="4570" max="4570" width="14.6640625" style="3946" bestFit="1" customWidth="1"/>
    <col min="4571" max="4571" width="13.88671875" style="3946" bestFit="1" customWidth="1"/>
    <col min="4572" max="4572" width="16.6640625" style="3946" bestFit="1" customWidth="1"/>
    <col min="4573" max="4573" width="12.6640625" style="3946" customWidth="1"/>
    <col min="4574" max="4574" width="14.6640625" style="3946" bestFit="1" customWidth="1"/>
    <col min="4575" max="4575" width="13.44140625" style="3946" bestFit="1" customWidth="1"/>
    <col min="4576" max="4576" width="16.6640625" style="3946" bestFit="1" customWidth="1"/>
    <col min="4577" max="4577" width="2" style="3946" customWidth="1"/>
    <col min="4578" max="4610" width="0" style="3946" hidden="1" customWidth="1"/>
    <col min="4611" max="4816" width="9.109375" style="3946"/>
    <col min="4817" max="4817" width="4.33203125" style="3946" customWidth="1"/>
    <col min="4818" max="4818" width="9.109375" style="3946"/>
    <col min="4819" max="4819" width="4.33203125" style="3946" customWidth="1"/>
    <col min="4820" max="4824" width="0" style="3946" hidden="1" customWidth="1"/>
    <col min="4825" max="4825" width="12.6640625" style="3946" customWidth="1"/>
    <col min="4826" max="4826" width="14.6640625" style="3946" bestFit="1" customWidth="1"/>
    <col min="4827" max="4827" width="13.88671875" style="3946" bestFit="1" customWidth="1"/>
    <col min="4828" max="4828" width="16.6640625" style="3946" bestFit="1" customWidth="1"/>
    <col min="4829" max="4829" width="12.6640625" style="3946" customWidth="1"/>
    <col min="4830" max="4830" width="14.6640625" style="3946" bestFit="1" customWidth="1"/>
    <col min="4831" max="4831" width="13.44140625" style="3946" bestFit="1" customWidth="1"/>
    <col min="4832" max="4832" width="16.6640625" style="3946" bestFit="1" customWidth="1"/>
    <col min="4833" max="4833" width="2" style="3946" customWidth="1"/>
    <col min="4834" max="4866" width="0" style="3946" hidden="1" customWidth="1"/>
    <col min="4867" max="5072" width="9.109375" style="3946"/>
    <col min="5073" max="5073" width="4.33203125" style="3946" customWidth="1"/>
    <col min="5074" max="5074" width="9.109375" style="3946"/>
    <col min="5075" max="5075" width="4.33203125" style="3946" customWidth="1"/>
    <col min="5076" max="5080" width="0" style="3946" hidden="1" customWidth="1"/>
    <col min="5081" max="5081" width="12.6640625" style="3946" customWidth="1"/>
    <col min="5082" max="5082" width="14.6640625" style="3946" bestFit="1" customWidth="1"/>
    <col min="5083" max="5083" width="13.88671875" style="3946" bestFit="1" customWidth="1"/>
    <col min="5084" max="5084" width="16.6640625" style="3946" bestFit="1" customWidth="1"/>
    <col min="5085" max="5085" width="12.6640625" style="3946" customWidth="1"/>
    <col min="5086" max="5086" width="14.6640625" style="3946" bestFit="1" customWidth="1"/>
    <col min="5087" max="5087" width="13.44140625" style="3946" bestFit="1" customWidth="1"/>
    <col min="5088" max="5088" width="16.6640625" style="3946" bestFit="1" customWidth="1"/>
    <col min="5089" max="5089" width="2" style="3946" customWidth="1"/>
    <col min="5090" max="5122" width="0" style="3946" hidden="1" customWidth="1"/>
    <col min="5123" max="5328" width="9.109375" style="3946"/>
    <col min="5329" max="5329" width="4.33203125" style="3946" customWidth="1"/>
    <col min="5330" max="5330" width="9.109375" style="3946"/>
    <col min="5331" max="5331" width="4.33203125" style="3946" customWidth="1"/>
    <col min="5332" max="5336" width="0" style="3946" hidden="1" customWidth="1"/>
    <col min="5337" max="5337" width="12.6640625" style="3946" customWidth="1"/>
    <col min="5338" max="5338" width="14.6640625" style="3946" bestFit="1" customWidth="1"/>
    <col min="5339" max="5339" width="13.88671875" style="3946" bestFit="1" customWidth="1"/>
    <col min="5340" max="5340" width="16.6640625" style="3946" bestFit="1" customWidth="1"/>
    <col min="5341" max="5341" width="12.6640625" style="3946" customWidth="1"/>
    <col min="5342" max="5342" width="14.6640625" style="3946" bestFit="1" customWidth="1"/>
    <col min="5343" max="5343" width="13.44140625" style="3946" bestFit="1" customWidth="1"/>
    <col min="5344" max="5344" width="16.6640625" style="3946" bestFit="1" customWidth="1"/>
    <col min="5345" max="5345" width="2" style="3946" customWidth="1"/>
    <col min="5346" max="5378" width="0" style="3946" hidden="1" customWidth="1"/>
    <col min="5379" max="5584" width="9.109375" style="3946"/>
    <col min="5585" max="5585" width="4.33203125" style="3946" customWidth="1"/>
    <col min="5586" max="5586" width="9.109375" style="3946"/>
    <col min="5587" max="5587" width="4.33203125" style="3946" customWidth="1"/>
    <col min="5588" max="5592" width="0" style="3946" hidden="1" customWidth="1"/>
    <col min="5593" max="5593" width="12.6640625" style="3946" customWidth="1"/>
    <col min="5594" max="5594" width="14.6640625" style="3946" bestFit="1" customWidth="1"/>
    <col min="5595" max="5595" width="13.88671875" style="3946" bestFit="1" customWidth="1"/>
    <col min="5596" max="5596" width="16.6640625" style="3946" bestFit="1" customWidth="1"/>
    <col min="5597" max="5597" width="12.6640625" style="3946" customWidth="1"/>
    <col min="5598" max="5598" width="14.6640625" style="3946" bestFit="1" customWidth="1"/>
    <col min="5599" max="5599" width="13.44140625" style="3946" bestFit="1" customWidth="1"/>
    <col min="5600" max="5600" width="16.6640625" style="3946" bestFit="1" customWidth="1"/>
    <col min="5601" max="5601" width="2" style="3946" customWidth="1"/>
    <col min="5602" max="5634" width="0" style="3946" hidden="1" customWidth="1"/>
    <col min="5635" max="5840" width="9.109375" style="3946"/>
    <col min="5841" max="5841" width="4.33203125" style="3946" customWidth="1"/>
    <col min="5842" max="5842" width="9.109375" style="3946"/>
    <col min="5843" max="5843" width="4.33203125" style="3946" customWidth="1"/>
    <col min="5844" max="5848" width="0" style="3946" hidden="1" customWidth="1"/>
    <col min="5849" max="5849" width="12.6640625" style="3946" customWidth="1"/>
    <col min="5850" max="5850" width="14.6640625" style="3946" bestFit="1" customWidth="1"/>
    <col min="5851" max="5851" width="13.88671875" style="3946" bestFit="1" customWidth="1"/>
    <col min="5852" max="5852" width="16.6640625" style="3946" bestFit="1" customWidth="1"/>
    <col min="5853" max="5853" width="12.6640625" style="3946" customWidth="1"/>
    <col min="5854" max="5854" width="14.6640625" style="3946" bestFit="1" customWidth="1"/>
    <col min="5855" max="5855" width="13.44140625" style="3946" bestFit="1" customWidth="1"/>
    <col min="5856" max="5856" width="16.6640625" style="3946" bestFit="1" customWidth="1"/>
    <col min="5857" max="5857" width="2" style="3946" customWidth="1"/>
    <col min="5858" max="5890" width="0" style="3946" hidden="1" customWidth="1"/>
    <col min="5891" max="6096" width="9.109375" style="3946"/>
    <col min="6097" max="6097" width="4.33203125" style="3946" customWidth="1"/>
    <col min="6098" max="6098" width="9.109375" style="3946"/>
    <col min="6099" max="6099" width="4.33203125" style="3946" customWidth="1"/>
    <col min="6100" max="6104" width="0" style="3946" hidden="1" customWidth="1"/>
    <col min="6105" max="6105" width="12.6640625" style="3946" customWidth="1"/>
    <col min="6106" max="6106" width="14.6640625" style="3946" bestFit="1" customWidth="1"/>
    <col min="6107" max="6107" width="13.88671875" style="3946" bestFit="1" customWidth="1"/>
    <col min="6108" max="6108" width="16.6640625" style="3946" bestFit="1" customWidth="1"/>
    <col min="6109" max="6109" width="12.6640625" style="3946" customWidth="1"/>
    <col min="6110" max="6110" width="14.6640625" style="3946" bestFit="1" customWidth="1"/>
    <col min="6111" max="6111" width="13.44140625" style="3946" bestFit="1" customWidth="1"/>
    <col min="6112" max="6112" width="16.6640625" style="3946" bestFit="1" customWidth="1"/>
    <col min="6113" max="6113" width="2" style="3946" customWidth="1"/>
    <col min="6114" max="6146" width="0" style="3946" hidden="1" customWidth="1"/>
    <col min="6147" max="6352" width="9.109375" style="3946"/>
    <col min="6353" max="6353" width="4.33203125" style="3946" customWidth="1"/>
    <col min="6354" max="6354" width="9.109375" style="3946"/>
    <col min="6355" max="6355" width="4.33203125" style="3946" customWidth="1"/>
    <col min="6356" max="6360" width="0" style="3946" hidden="1" customWidth="1"/>
    <col min="6361" max="6361" width="12.6640625" style="3946" customWidth="1"/>
    <col min="6362" max="6362" width="14.6640625" style="3946" bestFit="1" customWidth="1"/>
    <col min="6363" max="6363" width="13.88671875" style="3946" bestFit="1" customWidth="1"/>
    <col min="6364" max="6364" width="16.6640625" style="3946" bestFit="1" customWidth="1"/>
    <col min="6365" max="6365" width="12.6640625" style="3946" customWidth="1"/>
    <col min="6366" max="6366" width="14.6640625" style="3946" bestFit="1" customWidth="1"/>
    <col min="6367" max="6367" width="13.44140625" style="3946" bestFit="1" customWidth="1"/>
    <col min="6368" max="6368" width="16.6640625" style="3946" bestFit="1" customWidth="1"/>
    <col min="6369" max="6369" width="2" style="3946" customWidth="1"/>
    <col min="6370" max="6402" width="0" style="3946" hidden="1" customWidth="1"/>
    <col min="6403" max="6608" width="9.109375" style="3946"/>
    <col min="6609" max="6609" width="4.33203125" style="3946" customWidth="1"/>
    <col min="6610" max="6610" width="9.109375" style="3946"/>
    <col min="6611" max="6611" width="4.33203125" style="3946" customWidth="1"/>
    <col min="6612" max="6616" width="0" style="3946" hidden="1" customWidth="1"/>
    <col min="6617" max="6617" width="12.6640625" style="3946" customWidth="1"/>
    <col min="6618" max="6618" width="14.6640625" style="3946" bestFit="1" customWidth="1"/>
    <col min="6619" max="6619" width="13.88671875" style="3946" bestFit="1" customWidth="1"/>
    <col min="6620" max="6620" width="16.6640625" style="3946" bestFit="1" customWidth="1"/>
    <col min="6621" max="6621" width="12.6640625" style="3946" customWidth="1"/>
    <col min="6622" max="6622" width="14.6640625" style="3946" bestFit="1" customWidth="1"/>
    <col min="6623" max="6623" width="13.44140625" style="3946" bestFit="1" customWidth="1"/>
    <col min="6624" max="6624" width="16.6640625" style="3946" bestFit="1" customWidth="1"/>
    <col min="6625" max="6625" width="2" style="3946" customWidth="1"/>
    <col min="6626" max="6658" width="0" style="3946" hidden="1" customWidth="1"/>
    <col min="6659" max="6864" width="9.109375" style="3946"/>
    <col min="6865" max="6865" width="4.33203125" style="3946" customWidth="1"/>
    <col min="6866" max="6866" width="9.109375" style="3946"/>
    <col min="6867" max="6867" width="4.33203125" style="3946" customWidth="1"/>
    <col min="6868" max="6872" width="0" style="3946" hidden="1" customWidth="1"/>
    <col min="6873" max="6873" width="12.6640625" style="3946" customWidth="1"/>
    <col min="6874" max="6874" width="14.6640625" style="3946" bestFit="1" customWidth="1"/>
    <col min="6875" max="6875" width="13.88671875" style="3946" bestFit="1" customWidth="1"/>
    <col min="6876" max="6876" width="16.6640625" style="3946" bestFit="1" customWidth="1"/>
    <col min="6877" max="6877" width="12.6640625" style="3946" customWidth="1"/>
    <col min="6878" max="6878" width="14.6640625" style="3946" bestFit="1" customWidth="1"/>
    <col min="6879" max="6879" width="13.44140625" style="3946" bestFit="1" customWidth="1"/>
    <col min="6880" max="6880" width="16.6640625" style="3946" bestFit="1" customWidth="1"/>
    <col min="6881" max="6881" width="2" style="3946" customWidth="1"/>
    <col min="6882" max="6914" width="0" style="3946" hidden="1" customWidth="1"/>
    <col min="6915" max="7120" width="9.109375" style="3946"/>
    <col min="7121" max="7121" width="4.33203125" style="3946" customWidth="1"/>
    <col min="7122" max="7122" width="9.109375" style="3946"/>
    <col min="7123" max="7123" width="4.33203125" style="3946" customWidth="1"/>
    <col min="7124" max="7128" width="0" style="3946" hidden="1" customWidth="1"/>
    <col min="7129" max="7129" width="12.6640625" style="3946" customWidth="1"/>
    <col min="7130" max="7130" width="14.6640625" style="3946" bestFit="1" customWidth="1"/>
    <col min="7131" max="7131" width="13.88671875" style="3946" bestFit="1" customWidth="1"/>
    <col min="7132" max="7132" width="16.6640625" style="3946" bestFit="1" customWidth="1"/>
    <col min="7133" max="7133" width="12.6640625" style="3946" customWidth="1"/>
    <col min="7134" max="7134" width="14.6640625" style="3946" bestFit="1" customWidth="1"/>
    <col min="7135" max="7135" width="13.44140625" style="3946" bestFit="1" customWidth="1"/>
    <col min="7136" max="7136" width="16.6640625" style="3946" bestFit="1" customWidth="1"/>
    <col min="7137" max="7137" width="2" style="3946" customWidth="1"/>
    <col min="7138" max="7170" width="0" style="3946" hidden="1" customWidth="1"/>
    <col min="7171" max="7376" width="9.109375" style="3946"/>
    <col min="7377" max="7377" width="4.33203125" style="3946" customWidth="1"/>
    <col min="7378" max="7378" width="9.109375" style="3946"/>
    <col min="7379" max="7379" width="4.33203125" style="3946" customWidth="1"/>
    <col min="7380" max="7384" width="0" style="3946" hidden="1" customWidth="1"/>
    <col min="7385" max="7385" width="12.6640625" style="3946" customWidth="1"/>
    <col min="7386" max="7386" width="14.6640625" style="3946" bestFit="1" customWidth="1"/>
    <col min="7387" max="7387" width="13.88671875" style="3946" bestFit="1" customWidth="1"/>
    <col min="7388" max="7388" width="16.6640625" style="3946" bestFit="1" customWidth="1"/>
    <col min="7389" max="7389" width="12.6640625" style="3946" customWidth="1"/>
    <col min="7390" max="7390" width="14.6640625" style="3946" bestFit="1" customWidth="1"/>
    <col min="7391" max="7391" width="13.44140625" style="3946" bestFit="1" customWidth="1"/>
    <col min="7392" max="7392" width="16.6640625" style="3946" bestFit="1" customWidth="1"/>
    <col min="7393" max="7393" width="2" style="3946" customWidth="1"/>
    <col min="7394" max="7426" width="0" style="3946" hidden="1" customWidth="1"/>
    <col min="7427" max="7632" width="9.109375" style="3946"/>
    <col min="7633" max="7633" width="4.33203125" style="3946" customWidth="1"/>
    <col min="7634" max="7634" width="9.109375" style="3946"/>
    <col min="7635" max="7635" width="4.33203125" style="3946" customWidth="1"/>
    <col min="7636" max="7640" width="0" style="3946" hidden="1" customWidth="1"/>
    <col min="7641" max="7641" width="12.6640625" style="3946" customWidth="1"/>
    <col min="7642" max="7642" width="14.6640625" style="3946" bestFit="1" customWidth="1"/>
    <col min="7643" max="7643" width="13.88671875" style="3946" bestFit="1" customWidth="1"/>
    <col min="7644" max="7644" width="16.6640625" style="3946" bestFit="1" customWidth="1"/>
    <col min="7645" max="7645" width="12.6640625" style="3946" customWidth="1"/>
    <col min="7646" max="7646" width="14.6640625" style="3946" bestFit="1" customWidth="1"/>
    <col min="7647" max="7647" width="13.44140625" style="3946" bestFit="1" customWidth="1"/>
    <col min="7648" max="7648" width="16.6640625" style="3946" bestFit="1" customWidth="1"/>
    <col min="7649" max="7649" width="2" style="3946" customWidth="1"/>
    <col min="7650" max="7682" width="0" style="3946" hidden="1" customWidth="1"/>
    <col min="7683" max="7888" width="9.109375" style="3946"/>
    <col min="7889" max="7889" width="4.33203125" style="3946" customWidth="1"/>
    <col min="7890" max="7890" width="9.109375" style="3946"/>
    <col min="7891" max="7891" width="4.33203125" style="3946" customWidth="1"/>
    <col min="7892" max="7896" width="0" style="3946" hidden="1" customWidth="1"/>
    <col min="7897" max="7897" width="12.6640625" style="3946" customWidth="1"/>
    <col min="7898" max="7898" width="14.6640625" style="3946" bestFit="1" customWidth="1"/>
    <col min="7899" max="7899" width="13.88671875" style="3946" bestFit="1" customWidth="1"/>
    <col min="7900" max="7900" width="16.6640625" style="3946" bestFit="1" customWidth="1"/>
    <col min="7901" max="7901" width="12.6640625" style="3946" customWidth="1"/>
    <col min="7902" max="7902" width="14.6640625" style="3946" bestFit="1" customWidth="1"/>
    <col min="7903" max="7903" width="13.44140625" style="3946" bestFit="1" customWidth="1"/>
    <col min="7904" max="7904" width="16.6640625" style="3946" bestFit="1" customWidth="1"/>
    <col min="7905" max="7905" width="2" style="3946" customWidth="1"/>
    <col min="7906" max="7938" width="0" style="3946" hidden="1" customWidth="1"/>
    <col min="7939" max="8144" width="9.109375" style="3946"/>
    <col min="8145" max="8145" width="4.33203125" style="3946" customWidth="1"/>
    <col min="8146" max="8146" width="9.109375" style="3946"/>
    <col min="8147" max="8147" width="4.33203125" style="3946" customWidth="1"/>
    <col min="8148" max="8152" width="0" style="3946" hidden="1" customWidth="1"/>
    <col min="8153" max="8153" width="12.6640625" style="3946" customWidth="1"/>
    <col min="8154" max="8154" width="14.6640625" style="3946" bestFit="1" customWidth="1"/>
    <col min="8155" max="8155" width="13.88671875" style="3946" bestFit="1" customWidth="1"/>
    <col min="8156" max="8156" width="16.6640625" style="3946" bestFit="1" customWidth="1"/>
    <col min="8157" max="8157" width="12.6640625" style="3946" customWidth="1"/>
    <col min="8158" max="8158" width="14.6640625" style="3946" bestFit="1" customWidth="1"/>
    <col min="8159" max="8159" width="13.44140625" style="3946" bestFit="1" customWidth="1"/>
    <col min="8160" max="8160" width="16.6640625" style="3946" bestFit="1" customWidth="1"/>
    <col min="8161" max="8161" width="2" style="3946" customWidth="1"/>
    <col min="8162" max="8194" width="0" style="3946" hidden="1" customWidth="1"/>
    <col min="8195" max="8400" width="9.109375" style="3946"/>
    <col min="8401" max="8401" width="4.33203125" style="3946" customWidth="1"/>
    <col min="8402" max="8402" width="9.109375" style="3946"/>
    <col min="8403" max="8403" width="4.33203125" style="3946" customWidth="1"/>
    <col min="8404" max="8408" width="0" style="3946" hidden="1" customWidth="1"/>
    <col min="8409" max="8409" width="12.6640625" style="3946" customWidth="1"/>
    <col min="8410" max="8410" width="14.6640625" style="3946" bestFit="1" customWidth="1"/>
    <col min="8411" max="8411" width="13.88671875" style="3946" bestFit="1" customWidth="1"/>
    <col min="8412" max="8412" width="16.6640625" style="3946" bestFit="1" customWidth="1"/>
    <col min="8413" max="8413" width="12.6640625" style="3946" customWidth="1"/>
    <col min="8414" max="8414" width="14.6640625" style="3946" bestFit="1" customWidth="1"/>
    <col min="8415" max="8415" width="13.44140625" style="3946" bestFit="1" customWidth="1"/>
    <col min="8416" max="8416" width="16.6640625" style="3946" bestFit="1" customWidth="1"/>
    <col min="8417" max="8417" width="2" style="3946" customWidth="1"/>
    <col min="8418" max="8450" width="0" style="3946" hidden="1" customWidth="1"/>
    <col min="8451" max="8656" width="9.109375" style="3946"/>
    <col min="8657" max="8657" width="4.33203125" style="3946" customWidth="1"/>
    <col min="8658" max="8658" width="9.109375" style="3946"/>
    <col min="8659" max="8659" width="4.33203125" style="3946" customWidth="1"/>
    <col min="8660" max="8664" width="0" style="3946" hidden="1" customWidth="1"/>
    <col min="8665" max="8665" width="12.6640625" style="3946" customWidth="1"/>
    <col min="8666" max="8666" width="14.6640625" style="3946" bestFit="1" customWidth="1"/>
    <col min="8667" max="8667" width="13.88671875" style="3946" bestFit="1" customWidth="1"/>
    <col min="8668" max="8668" width="16.6640625" style="3946" bestFit="1" customWidth="1"/>
    <col min="8669" max="8669" width="12.6640625" style="3946" customWidth="1"/>
    <col min="8670" max="8670" width="14.6640625" style="3946" bestFit="1" customWidth="1"/>
    <col min="8671" max="8671" width="13.44140625" style="3946" bestFit="1" customWidth="1"/>
    <col min="8672" max="8672" width="16.6640625" style="3946" bestFit="1" customWidth="1"/>
    <col min="8673" max="8673" width="2" style="3946" customWidth="1"/>
    <col min="8674" max="8706" width="0" style="3946" hidden="1" customWidth="1"/>
    <col min="8707" max="8912" width="9.109375" style="3946"/>
    <col min="8913" max="8913" width="4.33203125" style="3946" customWidth="1"/>
    <col min="8914" max="8914" width="9.109375" style="3946"/>
    <col min="8915" max="8915" width="4.33203125" style="3946" customWidth="1"/>
    <col min="8916" max="8920" width="0" style="3946" hidden="1" customWidth="1"/>
    <col min="8921" max="8921" width="12.6640625" style="3946" customWidth="1"/>
    <col min="8922" max="8922" width="14.6640625" style="3946" bestFit="1" customWidth="1"/>
    <col min="8923" max="8923" width="13.88671875" style="3946" bestFit="1" customWidth="1"/>
    <col min="8924" max="8924" width="16.6640625" style="3946" bestFit="1" customWidth="1"/>
    <col min="8925" max="8925" width="12.6640625" style="3946" customWidth="1"/>
    <col min="8926" max="8926" width="14.6640625" style="3946" bestFit="1" customWidth="1"/>
    <col min="8927" max="8927" width="13.44140625" style="3946" bestFit="1" customWidth="1"/>
    <col min="8928" max="8928" width="16.6640625" style="3946" bestFit="1" customWidth="1"/>
    <col min="8929" max="8929" width="2" style="3946" customWidth="1"/>
    <col min="8930" max="8962" width="0" style="3946" hidden="1" customWidth="1"/>
    <col min="8963" max="9168" width="9.109375" style="3946"/>
    <col min="9169" max="9169" width="4.33203125" style="3946" customWidth="1"/>
    <col min="9170" max="9170" width="9.109375" style="3946"/>
    <col min="9171" max="9171" width="4.33203125" style="3946" customWidth="1"/>
    <col min="9172" max="9176" width="0" style="3946" hidden="1" customWidth="1"/>
    <col min="9177" max="9177" width="12.6640625" style="3946" customWidth="1"/>
    <col min="9178" max="9178" width="14.6640625" style="3946" bestFit="1" customWidth="1"/>
    <col min="9179" max="9179" width="13.88671875" style="3946" bestFit="1" customWidth="1"/>
    <col min="9180" max="9180" width="16.6640625" style="3946" bestFit="1" customWidth="1"/>
    <col min="9181" max="9181" width="12.6640625" style="3946" customWidth="1"/>
    <col min="9182" max="9182" width="14.6640625" style="3946" bestFit="1" customWidth="1"/>
    <col min="9183" max="9183" width="13.44140625" style="3946" bestFit="1" customWidth="1"/>
    <col min="9184" max="9184" width="16.6640625" style="3946" bestFit="1" customWidth="1"/>
    <col min="9185" max="9185" width="2" style="3946" customWidth="1"/>
    <col min="9186" max="9218" width="0" style="3946" hidden="1" customWidth="1"/>
    <col min="9219" max="9424" width="9.109375" style="3946"/>
    <col min="9425" max="9425" width="4.33203125" style="3946" customWidth="1"/>
    <col min="9426" max="9426" width="9.109375" style="3946"/>
    <col min="9427" max="9427" width="4.33203125" style="3946" customWidth="1"/>
    <col min="9428" max="9432" width="0" style="3946" hidden="1" customWidth="1"/>
    <col min="9433" max="9433" width="12.6640625" style="3946" customWidth="1"/>
    <col min="9434" max="9434" width="14.6640625" style="3946" bestFit="1" customWidth="1"/>
    <col min="9435" max="9435" width="13.88671875" style="3946" bestFit="1" customWidth="1"/>
    <col min="9436" max="9436" width="16.6640625" style="3946" bestFit="1" customWidth="1"/>
    <col min="9437" max="9437" width="12.6640625" style="3946" customWidth="1"/>
    <col min="9438" max="9438" width="14.6640625" style="3946" bestFit="1" customWidth="1"/>
    <col min="9439" max="9439" width="13.44140625" style="3946" bestFit="1" customWidth="1"/>
    <col min="9440" max="9440" width="16.6640625" style="3946" bestFit="1" customWidth="1"/>
    <col min="9441" max="9441" width="2" style="3946" customWidth="1"/>
    <col min="9442" max="9474" width="0" style="3946" hidden="1" customWidth="1"/>
    <col min="9475" max="9680" width="9.109375" style="3946"/>
    <col min="9681" max="9681" width="4.33203125" style="3946" customWidth="1"/>
    <col min="9682" max="9682" width="9.109375" style="3946"/>
    <col min="9683" max="9683" width="4.33203125" style="3946" customWidth="1"/>
    <col min="9684" max="9688" width="0" style="3946" hidden="1" customWidth="1"/>
    <col min="9689" max="9689" width="12.6640625" style="3946" customWidth="1"/>
    <col min="9690" max="9690" width="14.6640625" style="3946" bestFit="1" customWidth="1"/>
    <col min="9691" max="9691" width="13.88671875" style="3946" bestFit="1" customWidth="1"/>
    <col min="9692" max="9692" width="16.6640625" style="3946" bestFit="1" customWidth="1"/>
    <col min="9693" max="9693" width="12.6640625" style="3946" customWidth="1"/>
    <col min="9694" max="9694" width="14.6640625" style="3946" bestFit="1" customWidth="1"/>
    <col min="9695" max="9695" width="13.44140625" style="3946" bestFit="1" customWidth="1"/>
    <col min="9696" max="9696" width="16.6640625" style="3946" bestFit="1" customWidth="1"/>
    <col min="9697" max="9697" width="2" style="3946" customWidth="1"/>
    <col min="9698" max="9730" width="0" style="3946" hidden="1" customWidth="1"/>
    <col min="9731" max="9936" width="9.109375" style="3946"/>
    <col min="9937" max="9937" width="4.33203125" style="3946" customWidth="1"/>
    <col min="9938" max="9938" width="9.109375" style="3946"/>
    <col min="9939" max="9939" width="4.33203125" style="3946" customWidth="1"/>
    <col min="9940" max="9944" width="0" style="3946" hidden="1" customWidth="1"/>
    <col min="9945" max="9945" width="12.6640625" style="3946" customWidth="1"/>
    <col min="9946" max="9946" width="14.6640625" style="3946" bestFit="1" customWidth="1"/>
    <col min="9947" max="9947" width="13.88671875" style="3946" bestFit="1" customWidth="1"/>
    <col min="9948" max="9948" width="16.6640625" style="3946" bestFit="1" customWidth="1"/>
    <col min="9949" max="9949" width="12.6640625" style="3946" customWidth="1"/>
    <col min="9950" max="9950" width="14.6640625" style="3946" bestFit="1" customWidth="1"/>
    <col min="9951" max="9951" width="13.44140625" style="3946" bestFit="1" customWidth="1"/>
    <col min="9952" max="9952" width="16.6640625" style="3946" bestFit="1" customWidth="1"/>
    <col min="9953" max="9953" width="2" style="3946" customWidth="1"/>
    <col min="9954" max="9986" width="0" style="3946" hidden="1" customWidth="1"/>
    <col min="9987" max="10192" width="9.109375" style="3946"/>
    <col min="10193" max="10193" width="4.33203125" style="3946" customWidth="1"/>
    <col min="10194" max="10194" width="9.109375" style="3946"/>
    <col min="10195" max="10195" width="4.33203125" style="3946" customWidth="1"/>
    <col min="10196" max="10200" width="0" style="3946" hidden="1" customWidth="1"/>
    <col min="10201" max="10201" width="12.6640625" style="3946" customWidth="1"/>
    <col min="10202" max="10202" width="14.6640625" style="3946" bestFit="1" customWidth="1"/>
    <col min="10203" max="10203" width="13.88671875" style="3946" bestFit="1" customWidth="1"/>
    <col min="10204" max="10204" width="16.6640625" style="3946" bestFit="1" customWidth="1"/>
    <col min="10205" max="10205" width="12.6640625" style="3946" customWidth="1"/>
    <col min="10206" max="10206" width="14.6640625" style="3946" bestFit="1" customWidth="1"/>
    <col min="10207" max="10207" width="13.44140625" style="3946" bestFit="1" customWidth="1"/>
    <col min="10208" max="10208" width="16.6640625" style="3946" bestFit="1" customWidth="1"/>
    <col min="10209" max="10209" width="2" style="3946" customWidth="1"/>
    <col min="10210" max="10242" width="0" style="3946" hidden="1" customWidth="1"/>
    <col min="10243" max="10448" width="9.109375" style="3946"/>
    <col min="10449" max="10449" width="4.33203125" style="3946" customWidth="1"/>
    <col min="10450" max="10450" width="9.109375" style="3946"/>
    <col min="10451" max="10451" width="4.33203125" style="3946" customWidth="1"/>
    <col min="10452" max="10456" width="0" style="3946" hidden="1" customWidth="1"/>
    <col min="10457" max="10457" width="12.6640625" style="3946" customWidth="1"/>
    <col min="10458" max="10458" width="14.6640625" style="3946" bestFit="1" customWidth="1"/>
    <col min="10459" max="10459" width="13.88671875" style="3946" bestFit="1" customWidth="1"/>
    <col min="10460" max="10460" width="16.6640625" style="3946" bestFit="1" customWidth="1"/>
    <col min="10461" max="10461" width="12.6640625" style="3946" customWidth="1"/>
    <col min="10462" max="10462" width="14.6640625" style="3946" bestFit="1" customWidth="1"/>
    <col min="10463" max="10463" width="13.44140625" style="3946" bestFit="1" customWidth="1"/>
    <col min="10464" max="10464" width="16.6640625" style="3946" bestFit="1" customWidth="1"/>
    <col min="10465" max="10465" width="2" style="3946" customWidth="1"/>
    <col min="10466" max="10498" width="0" style="3946" hidden="1" customWidth="1"/>
    <col min="10499" max="10704" width="9.109375" style="3946"/>
    <col min="10705" max="10705" width="4.33203125" style="3946" customWidth="1"/>
    <col min="10706" max="10706" width="9.109375" style="3946"/>
    <col min="10707" max="10707" width="4.33203125" style="3946" customWidth="1"/>
    <col min="10708" max="10712" width="0" style="3946" hidden="1" customWidth="1"/>
    <col min="10713" max="10713" width="12.6640625" style="3946" customWidth="1"/>
    <col min="10714" max="10714" width="14.6640625" style="3946" bestFit="1" customWidth="1"/>
    <col min="10715" max="10715" width="13.88671875" style="3946" bestFit="1" customWidth="1"/>
    <col min="10716" max="10716" width="16.6640625" style="3946" bestFit="1" customWidth="1"/>
    <col min="10717" max="10717" width="12.6640625" style="3946" customWidth="1"/>
    <col min="10718" max="10718" width="14.6640625" style="3946" bestFit="1" customWidth="1"/>
    <col min="10719" max="10719" width="13.44140625" style="3946" bestFit="1" customWidth="1"/>
    <col min="10720" max="10720" width="16.6640625" style="3946" bestFit="1" customWidth="1"/>
    <col min="10721" max="10721" width="2" style="3946" customWidth="1"/>
    <col min="10722" max="10754" width="0" style="3946" hidden="1" customWidth="1"/>
    <col min="10755" max="10960" width="9.109375" style="3946"/>
    <col min="10961" max="10961" width="4.33203125" style="3946" customWidth="1"/>
    <col min="10962" max="10962" width="9.109375" style="3946"/>
    <col min="10963" max="10963" width="4.33203125" style="3946" customWidth="1"/>
    <col min="10964" max="10968" width="0" style="3946" hidden="1" customWidth="1"/>
    <col min="10969" max="10969" width="12.6640625" style="3946" customWidth="1"/>
    <col min="10970" max="10970" width="14.6640625" style="3946" bestFit="1" customWidth="1"/>
    <col min="10971" max="10971" width="13.88671875" style="3946" bestFit="1" customWidth="1"/>
    <col min="10972" max="10972" width="16.6640625" style="3946" bestFit="1" customWidth="1"/>
    <col min="10973" max="10973" width="12.6640625" style="3946" customWidth="1"/>
    <col min="10974" max="10974" width="14.6640625" style="3946" bestFit="1" customWidth="1"/>
    <col min="10975" max="10975" width="13.44140625" style="3946" bestFit="1" customWidth="1"/>
    <col min="10976" max="10976" width="16.6640625" style="3946" bestFit="1" customWidth="1"/>
    <col min="10977" max="10977" width="2" style="3946" customWidth="1"/>
    <col min="10978" max="11010" width="0" style="3946" hidden="1" customWidth="1"/>
    <col min="11011" max="11216" width="9.109375" style="3946"/>
    <col min="11217" max="11217" width="4.33203125" style="3946" customWidth="1"/>
    <col min="11218" max="11218" width="9.109375" style="3946"/>
    <col min="11219" max="11219" width="4.33203125" style="3946" customWidth="1"/>
    <col min="11220" max="11224" width="0" style="3946" hidden="1" customWidth="1"/>
    <col min="11225" max="11225" width="12.6640625" style="3946" customWidth="1"/>
    <col min="11226" max="11226" width="14.6640625" style="3946" bestFit="1" customWidth="1"/>
    <col min="11227" max="11227" width="13.88671875" style="3946" bestFit="1" customWidth="1"/>
    <col min="11228" max="11228" width="16.6640625" style="3946" bestFit="1" customWidth="1"/>
    <col min="11229" max="11229" width="12.6640625" style="3946" customWidth="1"/>
    <col min="11230" max="11230" width="14.6640625" style="3946" bestFit="1" customWidth="1"/>
    <col min="11231" max="11231" width="13.44140625" style="3946" bestFit="1" customWidth="1"/>
    <col min="11232" max="11232" width="16.6640625" style="3946" bestFit="1" customWidth="1"/>
    <col min="11233" max="11233" width="2" style="3946" customWidth="1"/>
    <col min="11234" max="11266" width="0" style="3946" hidden="1" customWidth="1"/>
    <col min="11267" max="11472" width="9.109375" style="3946"/>
    <col min="11473" max="11473" width="4.33203125" style="3946" customWidth="1"/>
    <col min="11474" max="11474" width="9.109375" style="3946"/>
    <col min="11475" max="11475" width="4.33203125" style="3946" customWidth="1"/>
    <col min="11476" max="11480" width="0" style="3946" hidden="1" customWidth="1"/>
    <col min="11481" max="11481" width="12.6640625" style="3946" customWidth="1"/>
    <col min="11482" max="11482" width="14.6640625" style="3946" bestFit="1" customWidth="1"/>
    <col min="11483" max="11483" width="13.88671875" style="3946" bestFit="1" customWidth="1"/>
    <col min="11484" max="11484" width="16.6640625" style="3946" bestFit="1" customWidth="1"/>
    <col min="11485" max="11485" width="12.6640625" style="3946" customWidth="1"/>
    <col min="11486" max="11486" width="14.6640625" style="3946" bestFit="1" customWidth="1"/>
    <col min="11487" max="11487" width="13.44140625" style="3946" bestFit="1" customWidth="1"/>
    <col min="11488" max="11488" width="16.6640625" style="3946" bestFit="1" customWidth="1"/>
    <col min="11489" max="11489" width="2" style="3946" customWidth="1"/>
    <col min="11490" max="11522" width="0" style="3946" hidden="1" customWidth="1"/>
    <col min="11523" max="11728" width="9.109375" style="3946"/>
    <col min="11729" max="11729" width="4.33203125" style="3946" customWidth="1"/>
    <col min="11730" max="11730" width="9.109375" style="3946"/>
    <col min="11731" max="11731" width="4.33203125" style="3946" customWidth="1"/>
    <col min="11732" max="11736" width="0" style="3946" hidden="1" customWidth="1"/>
    <col min="11737" max="11737" width="12.6640625" style="3946" customWidth="1"/>
    <col min="11738" max="11738" width="14.6640625" style="3946" bestFit="1" customWidth="1"/>
    <col min="11739" max="11739" width="13.88671875" style="3946" bestFit="1" customWidth="1"/>
    <col min="11740" max="11740" width="16.6640625" style="3946" bestFit="1" customWidth="1"/>
    <col min="11741" max="11741" width="12.6640625" style="3946" customWidth="1"/>
    <col min="11742" max="11742" width="14.6640625" style="3946" bestFit="1" customWidth="1"/>
    <col min="11743" max="11743" width="13.44140625" style="3946" bestFit="1" customWidth="1"/>
    <col min="11744" max="11744" width="16.6640625" style="3946" bestFit="1" customWidth="1"/>
    <col min="11745" max="11745" width="2" style="3946" customWidth="1"/>
    <col min="11746" max="11778" width="0" style="3946" hidden="1" customWidth="1"/>
    <col min="11779" max="11984" width="9.109375" style="3946"/>
    <col min="11985" max="11985" width="4.33203125" style="3946" customWidth="1"/>
    <col min="11986" max="11986" width="9.109375" style="3946"/>
    <col min="11987" max="11987" width="4.33203125" style="3946" customWidth="1"/>
    <col min="11988" max="11992" width="0" style="3946" hidden="1" customWidth="1"/>
    <col min="11993" max="11993" width="12.6640625" style="3946" customWidth="1"/>
    <col min="11994" max="11994" width="14.6640625" style="3946" bestFit="1" customWidth="1"/>
    <col min="11995" max="11995" width="13.88671875" style="3946" bestFit="1" customWidth="1"/>
    <col min="11996" max="11996" width="16.6640625" style="3946" bestFit="1" customWidth="1"/>
    <col min="11997" max="11997" width="12.6640625" style="3946" customWidth="1"/>
    <col min="11998" max="11998" width="14.6640625" style="3946" bestFit="1" customWidth="1"/>
    <col min="11999" max="11999" width="13.44140625" style="3946" bestFit="1" customWidth="1"/>
    <col min="12000" max="12000" width="16.6640625" style="3946" bestFit="1" customWidth="1"/>
    <col min="12001" max="12001" width="2" style="3946" customWidth="1"/>
    <col min="12002" max="12034" width="0" style="3946" hidden="1" customWidth="1"/>
    <col min="12035" max="12240" width="9.109375" style="3946"/>
    <col min="12241" max="12241" width="4.33203125" style="3946" customWidth="1"/>
    <col min="12242" max="12242" width="9.109375" style="3946"/>
    <col min="12243" max="12243" width="4.33203125" style="3946" customWidth="1"/>
    <col min="12244" max="12248" width="0" style="3946" hidden="1" customWidth="1"/>
    <col min="12249" max="12249" width="12.6640625" style="3946" customWidth="1"/>
    <col min="12250" max="12250" width="14.6640625" style="3946" bestFit="1" customWidth="1"/>
    <col min="12251" max="12251" width="13.88671875" style="3946" bestFit="1" customWidth="1"/>
    <col min="12252" max="12252" width="16.6640625" style="3946" bestFit="1" customWidth="1"/>
    <col min="12253" max="12253" width="12.6640625" style="3946" customWidth="1"/>
    <col min="12254" max="12254" width="14.6640625" style="3946" bestFit="1" customWidth="1"/>
    <col min="12255" max="12255" width="13.44140625" style="3946" bestFit="1" customWidth="1"/>
    <col min="12256" max="12256" width="16.6640625" style="3946" bestFit="1" customWidth="1"/>
    <col min="12257" max="12257" width="2" style="3946" customWidth="1"/>
    <col min="12258" max="12290" width="0" style="3946" hidden="1" customWidth="1"/>
    <col min="12291" max="12496" width="9.109375" style="3946"/>
    <col min="12497" max="12497" width="4.33203125" style="3946" customWidth="1"/>
    <col min="12498" max="12498" width="9.109375" style="3946"/>
    <col min="12499" max="12499" width="4.33203125" style="3946" customWidth="1"/>
    <col min="12500" max="12504" width="0" style="3946" hidden="1" customWidth="1"/>
    <col min="12505" max="12505" width="12.6640625" style="3946" customWidth="1"/>
    <col min="12506" max="12506" width="14.6640625" style="3946" bestFit="1" customWidth="1"/>
    <col min="12507" max="12507" width="13.88671875" style="3946" bestFit="1" customWidth="1"/>
    <col min="12508" max="12508" width="16.6640625" style="3946" bestFit="1" customWidth="1"/>
    <col min="12509" max="12509" width="12.6640625" style="3946" customWidth="1"/>
    <col min="12510" max="12510" width="14.6640625" style="3946" bestFit="1" customWidth="1"/>
    <col min="12511" max="12511" width="13.44140625" style="3946" bestFit="1" customWidth="1"/>
    <col min="12512" max="12512" width="16.6640625" style="3946" bestFit="1" customWidth="1"/>
    <col min="12513" max="12513" width="2" style="3946" customWidth="1"/>
    <col min="12514" max="12546" width="0" style="3946" hidden="1" customWidth="1"/>
    <col min="12547" max="12752" width="9.109375" style="3946"/>
    <col min="12753" max="12753" width="4.33203125" style="3946" customWidth="1"/>
    <col min="12754" max="12754" width="9.109375" style="3946"/>
    <col min="12755" max="12755" width="4.33203125" style="3946" customWidth="1"/>
    <col min="12756" max="12760" width="0" style="3946" hidden="1" customWidth="1"/>
    <col min="12761" max="12761" width="12.6640625" style="3946" customWidth="1"/>
    <col min="12762" max="12762" width="14.6640625" style="3946" bestFit="1" customWidth="1"/>
    <col min="12763" max="12763" width="13.88671875" style="3946" bestFit="1" customWidth="1"/>
    <col min="12764" max="12764" width="16.6640625" style="3946" bestFit="1" customWidth="1"/>
    <col min="12765" max="12765" width="12.6640625" style="3946" customWidth="1"/>
    <col min="12766" max="12766" width="14.6640625" style="3946" bestFit="1" customWidth="1"/>
    <col min="12767" max="12767" width="13.44140625" style="3946" bestFit="1" customWidth="1"/>
    <col min="12768" max="12768" width="16.6640625" style="3946" bestFit="1" customWidth="1"/>
    <col min="12769" max="12769" width="2" style="3946" customWidth="1"/>
    <col min="12770" max="12802" width="0" style="3946" hidden="1" customWidth="1"/>
    <col min="12803" max="13008" width="9.109375" style="3946"/>
    <col min="13009" max="13009" width="4.33203125" style="3946" customWidth="1"/>
    <col min="13010" max="13010" width="9.109375" style="3946"/>
    <col min="13011" max="13011" width="4.33203125" style="3946" customWidth="1"/>
    <col min="13012" max="13016" width="0" style="3946" hidden="1" customWidth="1"/>
    <col min="13017" max="13017" width="12.6640625" style="3946" customWidth="1"/>
    <col min="13018" max="13018" width="14.6640625" style="3946" bestFit="1" customWidth="1"/>
    <col min="13019" max="13019" width="13.88671875" style="3946" bestFit="1" customWidth="1"/>
    <col min="13020" max="13020" width="16.6640625" style="3946" bestFit="1" customWidth="1"/>
    <col min="13021" max="13021" width="12.6640625" style="3946" customWidth="1"/>
    <col min="13022" max="13022" width="14.6640625" style="3946" bestFit="1" customWidth="1"/>
    <col min="13023" max="13023" width="13.44140625" style="3946" bestFit="1" customWidth="1"/>
    <col min="13024" max="13024" width="16.6640625" style="3946" bestFit="1" customWidth="1"/>
    <col min="13025" max="13025" width="2" style="3946" customWidth="1"/>
    <col min="13026" max="13058" width="0" style="3946" hidden="1" customWidth="1"/>
    <col min="13059" max="13264" width="9.109375" style="3946"/>
    <col min="13265" max="13265" width="4.33203125" style="3946" customWidth="1"/>
    <col min="13266" max="13266" width="9.109375" style="3946"/>
    <col min="13267" max="13267" width="4.33203125" style="3946" customWidth="1"/>
    <col min="13268" max="13272" width="0" style="3946" hidden="1" customWidth="1"/>
    <col min="13273" max="13273" width="12.6640625" style="3946" customWidth="1"/>
    <col min="13274" max="13274" width="14.6640625" style="3946" bestFit="1" customWidth="1"/>
    <col min="13275" max="13275" width="13.88671875" style="3946" bestFit="1" customWidth="1"/>
    <col min="13276" max="13276" width="16.6640625" style="3946" bestFit="1" customWidth="1"/>
    <col min="13277" max="13277" width="12.6640625" style="3946" customWidth="1"/>
    <col min="13278" max="13278" width="14.6640625" style="3946" bestFit="1" customWidth="1"/>
    <col min="13279" max="13279" width="13.44140625" style="3946" bestFit="1" customWidth="1"/>
    <col min="13280" max="13280" width="16.6640625" style="3946" bestFit="1" customWidth="1"/>
    <col min="13281" max="13281" width="2" style="3946" customWidth="1"/>
    <col min="13282" max="13314" width="0" style="3946" hidden="1" customWidth="1"/>
    <col min="13315" max="13520" width="9.109375" style="3946"/>
    <col min="13521" max="13521" width="4.33203125" style="3946" customWidth="1"/>
    <col min="13522" max="13522" width="9.109375" style="3946"/>
    <col min="13523" max="13523" width="4.33203125" style="3946" customWidth="1"/>
    <col min="13524" max="13528" width="0" style="3946" hidden="1" customWidth="1"/>
    <col min="13529" max="13529" width="12.6640625" style="3946" customWidth="1"/>
    <col min="13530" max="13530" width="14.6640625" style="3946" bestFit="1" customWidth="1"/>
    <col min="13531" max="13531" width="13.88671875" style="3946" bestFit="1" customWidth="1"/>
    <col min="13532" max="13532" width="16.6640625" style="3946" bestFit="1" customWidth="1"/>
    <col min="13533" max="13533" width="12.6640625" style="3946" customWidth="1"/>
    <col min="13534" max="13534" width="14.6640625" style="3946" bestFit="1" customWidth="1"/>
    <col min="13535" max="13535" width="13.44140625" style="3946" bestFit="1" customWidth="1"/>
    <col min="13536" max="13536" width="16.6640625" style="3946" bestFit="1" customWidth="1"/>
    <col min="13537" max="13537" width="2" style="3946" customWidth="1"/>
    <col min="13538" max="13570" width="0" style="3946" hidden="1" customWidth="1"/>
    <col min="13571" max="13776" width="9.109375" style="3946"/>
    <col min="13777" max="13777" width="4.33203125" style="3946" customWidth="1"/>
    <col min="13778" max="13778" width="9.109375" style="3946"/>
    <col min="13779" max="13779" width="4.33203125" style="3946" customWidth="1"/>
    <col min="13780" max="13784" width="0" style="3946" hidden="1" customWidth="1"/>
    <col min="13785" max="13785" width="12.6640625" style="3946" customWidth="1"/>
    <col min="13786" max="13786" width="14.6640625" style="3946" bestFit="1" customWidth="1"/>
    <col min="13787" max="13787" width="13.88671875" style="3946" bestFit="1" customWidth="1"/>
    <col min="13788" max="13788" width="16.6640625" style="3946" bestFit="1" customWidth="1"/>
    <col min="13789" max="13789" width="12.6640625" style="3946" customWidth="1"/>
    <col min="13790" max="13790" width="14.6640625" style="3946" bestFit="1" customWidth="1"/>
    <col min="13791" max="13791" width="13.44140625" style="3946" bestFit="1" customWidth="1"/>
    <col min="13792" max="13792" width="16.6640625" style="3946" bestFit="1" customWidth="1"/>
    <col min="13793" max="13793" width="2" style="3946" customWidth="1"/>
    <col min="13794" max="13826" width="0" style="3946" hidden="1" customWidth="1"/>
    <col min="13827" max="14032" width="9.109375" style="3946"/>
    <col min="14033" max="14033" width="4.33203125" style="3946" customWidth="1"/>
    <col min="14034" max="14034" width="9.109375" style="3946"/>
    <col min="14035" max="14035" width="4.33203125" style="3946" customWidth="1"/>
    <col min="14036" max="14040" width="0" style="3946" hidden="1" customWidth="1"/>
    <col min="14041" max="14041" width="12.6640625" style="3946" customWidth="1"/>
    <col min="14042" max="14042" width="14.6640625" style="3946" bestFit="1" customWidth="1"/>
    <col min="14043" max="14043" width="13.88671875" style="3946" bestFit="1" customWidth="1"/>
    <col min="14044" max="14044" width="16.6640625" style="3946" bestFit="1" customWidth="1"/>
    <col min="14045" max="14045" width="12.6640625" style="3946" customWidth="1"/>
    <col min="14046" max="14046" width="14.6640625" style="3946" bestFit="1" customWidth="1"/>
    <col min="14047" max="14047" width="13.44140625" style="3946" bestFit="1" customWidth="1"/>
    <col min="14048" max="14048" width="16.6640625" style="3946" bestFit="1" customWidth="1"/>
    <col min="14049" max="14049" width="2" style="3946" customWidth="1"/>
    <col min="14050" max="14082" width="0" style="3946" hidden="1" customWidth="1"/>
    <col min="14083" max="14288" width="9.109375" style="3946"/>
    <col min="14289" max="14289" width="4.33203125" style="3946" customWidth="1"/>
    <col min="14290" max="14290" width="9.109375" style="3946"/>
    <col min="14291" max="14291" width="4.33203125" style="3946" customWidth="1"/>
    <col min="14292" max="14296" width="0" style="3946" hidden="1" customWidth="1"/>
    <col min="14297" max="14297" width="12.6640625" style="3946" customWidth="1"/>
    <col min="14298" max="14298" width="14.6640625" style="3946" bestFit="1" customWidth="1"/>
    <col min="14299" max="14299" width="13.88671875" style="3946" bestFit="1" customWidth="1"/>
    <col min="14300" max="14300" width="16.6640625" style="3946" bestFit="1" customWidth="1"/>
    <col min="14301" max="14301" width="12.6640625" style="3946" customWidth="1"/>
    <col min="14302" max="14302" width="14.6640625" style="3946" bestFit="1" customWidth="1"/>
    <col min="14303" max="14303" width="13.44140625" style="3946" bestFit="1" customWidth="1"/>
    <col min="14304" max="14304" width="16.6640625" style="3946" bestFit="1" customWidth="1"/>
    <col min="14305" max="14305" width="2" style="3946" customWidth="1"/>
    <col min="14306" max="14338" width="0" style="3946" hidden="1" customWidth="1"/>
    <col min="14339" max="14544" width="9.109375" style="3946"/>
    <col min="14545" max="14545" width="4.33203125" style="3946" customWidth="1"/>
    <col min="14546" max="14546" width="9.109375" style="3946"/>
    <col min="14547" max="14547" width="4.33203125" style="3946" customWidth="1"/>
    <col min="14548" max="14552" width="0" style="3946" hidden="1" customWidth="1"/>
    <col min="14553" max="14553" width="12.6640625" style="3946" customWidth="1"/>
    <col min="14554" max="14554" width="14.6640625" style="3946" bestFit="1" customWidth="1"/>
    <col min="14555" max="14555" width="13.88671875" style="3946" bestFit="1" customWidth="1"/>
    <col min="14556" max="14556" width="16.6640625" style="3946" bestFit="1" customWidth="1"/>
    <col min="14557" max="14557" width="12.6640625" style="3946" customWidth="1"/>
    <col min="14558" max="14558" width="14.6640625" style="3946" bestFit="1" customWidth="1"/>
    <col min="14559" max="14559" width="13.44140625" style="3946" bestFit="1" customWidth="1"/>
    <col min="14560" max="14560" width="16.6640625" style="3946" bestFit="1" customWidth="1"/>
    <col min="14561" max="14561" width="2" style="3946" customWidth="1"/>
    <col min="14562" max="14594" width="0" style="3946" hidden="1" customWidth="1"/>
    <col min="14595" max="14800" width="9.109375" style="3946"/>
    <col min="14801" max="14801" width="4.33203125" style="3946" customWidth="1"/>
    <col min="14802" max="14802" width="9.109375" style="3946"/>
    <col min="14803" max="14803" width="4.33203125" style="3946" customWidth="1"/>
    <col min="14804" max="14808" width="0" style="3946" hidden="1" customWidth="1"/>
    <col min="14809" max="14809" width="12.6640625" style="3946" customWidth="1"/>
    <col min="14810" max="14810" width="14.6640625" style="3946" bestFit="1" customWidth="1"/>
    <col min="14811" max="14811" width="13.88671875" style="3946" bestFit="1" customWidth="1"/>
    <col min="14812" max="14812" width="16.6640625" style="3946" bestFit="1" customWidth="1"/>
    <col min="14813" max="14813" width="12.6640625" style="3946" customWidth="1"/>
    <col min="14814" max="14814" width="14.6640625" style="3946" bestFit="1" customWidth="1"/>
    <col min="14815" max="14815" width="13.44140625" style="3946" bestFit="1" customWidth="1"/>
    <col min="14816" max="14816" width="16.6640625" style="3946" bestFit="1" customWidth="1"/>
    <col min="14817" max="14817" width="2" style="3946" customWidth="1"/>
    <col min="14818" max="14850" width="0" style="3946" hidden="1" customWidth="1"/>
    <col min="14851" max="15056" width="9.109375" style="3946"/>
    <col min="15057" max="15057" width="4.33203125" style="3946" customWidth="1"/>
    <col min="15058" max="15058" width="9.109375" style="3946"/>
    <col min="15059" max="15059" width="4.33203125" style="3946" customWidth="1"/>
    <col min="15060" max="15064" width="0" style="3946" hidden="1" customWidth="1"/>
    <col min="15065" max="15065" width="12.6640625" style="3946" customWidth="1"/>
    <col min="15066" max="15066" width="14.6640625" style="3946" bestFit="1" customWidth="1"/>
    <col min="15067" max="15067" width="13.88671875" style="3946" bestFit="1" customWidth="1"/>
    <col min="15068" max="15068" width="16.6640625" style="3946" bestFit="1" customWidth="1"/>
    <col min="15069" max="15069" width="12.6640625" style="3946" customWidth="1"/>
    <col min="15070" max="15070" width="14.6640625" style="3946" bestFit="1" customWidth="1"/>
    <col min="15071" max="15071" width="13.44140625" style="3946" bestFit="1" customWidth="1"/>
    <col min="15072" max="15072" width="16.6640625" style="3946" bestFit="1" customWidth="1"/>
    <col min="15073" max="15073" width="2" style="3946" customWidth="1"/>
    <col min="15074" max="15106" width="0" style="3946" hidden="1" customWidth="1"/>
    <col min="15107" max="15312" width="9.109375" style="3946"/>
    <col min="15313" max="15313" width="4.33203125" style="3946" customWidth="1"/>
    <col min="15314" max="15314" width="9.109375" style="3946"/>
    <col min="15315" max="15315" width="4.33203125" style="3946" customWidth="1"/>
    <col min="15316" max="15320" width="0" style="3946" hidden="1" customWidth="1"/>
    <col min="15321" max="15321" width="12.6640625" style="3946" customWidth="1"/>
    <col min="15322" max="15322" width="14.6640625" style="3946" bestFit="1" customWidth="1"/>
    <col min="15323" max="15323" width="13.88671875" style="3946" bestFit="1" customWidth="1"/>
    <col min="15324" max="15324" width="16.6640625" style="3946" bestFit="1" customWidth="1"/>
    <col min="15325" max="15325" width="12.6640625" style="3946" customWidth="1"/>
    <col min="15326" max="15326" width="14.6640625" style="3946" bestFit="1" customWidth="1"/>
    <col min="15327" max="15327" width="13.44140625" style="3946" bestFit="1" customWidth="1"/>
    <col min="15328" max="15328" width="16.6640625" style="3946" bestFit="1" customWidth="1"/>
    <col min="15329" max="15329" width="2" style="3946" customWidth="1"/>
    <col min="15330" max="15362" width="0" style="3946" hidden="1" customWidth="1"/>
    <col min="15363" max="15568" width="9.109375" style="3946"/>
    <col min="15569" max="15569" width="4.33203125" style="3946" customWidth="1"/>
    <col min="15570" max="15570" width="9.109375" style="3946"/>
    <col min="15571" max="15571" width="4.33203125" style="3946" customWidth="1"/>
    <col min="15572" max="15576" width="0" style="3946" hidden="1" customWidth="1"/>
    <col min="15577" max="15577" width="12.6640625" style="3946" customWidth="1"/>
    <col min="15578" max="15578" width="14.6640625" style="3946" bestFit="1" customWidth="1"/>
    <col min="15579" max="15579" width="13.88671875" style="3946" bestFit="1" customWidth="1"/>
    <col min="15580" max="15580" width="16.6640625" style="3946" bestFit="1" customWidth="1"/>
    <col min="15581" max="15581" width="12.6640625" style="3946" customWidth="1"/>
    <col min="15582" max="15582" width="14.6640625" style="3946" bestFit="1" customWidth="1"/>
    <col min="15583" max="15583" width="13.44140625" style="3946" bestFit="1" customWidth="1"/>
    <col min="15584" max="15584" width="16.6640625" style="3946" bestFit="1" customWidth="1"/>
    <col min="15585" max="15585" width="2" style="3946" customWidth="1"/>
    <col min="15586" max="15618" width="0" style="3946" hidden="1" customWidth="1"/>
    <col min="15619" max="15824" width="9.109375" style="3946"/>
    <col min="15825" max="15825" width="4.33203125" style="3946" customWidth="1"/>
    <col min="15826" max="15826" width="9.109375" style="3946"/>
    <col min="15827" max="15827" width="4.33203125" style="3946" customWidth="1"/>
    <col min="15828" max="15832" width="0" style="3946" hidden="1" customWidth="1"/>
    <col min="15833" max="15833" width="12.6640625" style="3946" customWidth="1"/>
    <col min="15834" max="15834" width="14.6640625" style="3946" bestFit="1" customWidth="1"/>
    <col min="15835" max="15835" width="13.88671875" style="3946" bestFit="1" customWidth="1"/>
    <col min="15836" max="15836" width="16.6640625" style="3946" bestFit="1" customWidth="1"/>
    <col min="15837" max="15837" width="12.6640625" style="3946" customWidth="1"/>
    <col min="15838" max="15838" width="14.6640625" style="3946" bestFit="1" customWidth="1"/>
    <col min="15839" max="15839" width="13.44140625" style="3946" bestFit="1" customWidth="1"/>
    <col min="15840" max="15840" width="16.6640625" style="3946" bestFit="1" customWidth="1"/>
    <col min="15841" max="15841" width="2" style="3946" customWidth="1"/>
    <col min="15842" max="15874" width="0" style="3946" hidden="1" customWidth="1"/>
    <col min="15875" max="16080" width="9.109375" style="3946"/>
    <col min="16081" max="16081" width="4.33203125" style="3946" customWidth="1"/>
    <col min="16082" max="16082" width="9.109375" style="3946"/>
    <col min="16083" max="16083" width="4.33203125" style="3946" customWidth="1"/>
    <col min="16084" max="16088" width="0" style="3946" hidden="1" customWidth="1"/>
    <col min="16089" max="16089" width="12.6640625" style="3946" customWidth="1"/>
    <col min="16090" max="16090" width="14.6640625" style="3946" bestFit="1" customWidth="1"/>
    <col min="16091" max="16091" width="13.88671875" style="3946" bestFit="1" customWidth="1"/>
    <col min="16092" max="16092" width="16.6640625" style="3946" bestFit="1" customWidth="1"/>
    <col min="16093" max="16093" width="12.6640625" style="3946" customWidth="1"/>
    <col min="16094" max="16094" width="14.6640625" style="3946" bestFit="1" customWidth="1"/>
    <col min="16095" max="16095" width="13.44140625" style="3946" bestFit="1" customWidth="1"/>
    <col min="16096" max="16096" width="16.6640625" style="3946" bestFit="1" customWidth="1"/>
    <col min="16097" max="16097" width="2" style="3946" customWidth="1"/>
    <col min="16098" max="16130" width="0" style="3946" hidden="1" customWidth="1"/>
    <col min="16131" max="16384" width="9.109375" style="3946"/>
  </cols>
  <sheetData>
    <row r="1" spans="1:11">
      <c r="A1" s="4489" t="s">
        <v>607</v>
      </c>
      <c r="B1" s="4489"/>
      <c r="C1" s="4489"/>
      <c r="D1" s="4489"/>
      <c r="E1" s="4489"/>
    </row>
    <row r="2" spans="1:11">
      <c r="A2" s="4489" t="s">
        <v>685</v>
      </c>
      <c r="B2" s="4489"/>
      <c r="C2" s="4489"/>
      <c r="D2" s="4489"/>
      <c r="E2" s="4489"/>
    </row>
    <row r="3" spans="1:11">
      <c r="A3" s="4420" t="s">
        <v>970</v>
      </c>
      <c r="B3" s="4420"/>
      <c r="C3" s="4420"/>
      <c r="D3" s="4420"/>
      <c r="E3" s="4420"/>
      <c r="F3" s="4405"/>
      <c r="G3" s="4405"/>
      <c r="H3" s="4405"/>
      <c r="I3" s="4405"/>
      <c r="J3" s="4405"/>
      <c r="K3" s="4405"/>
    </row>
    <row r="5" spans="1:11" ht="13.8" thickBot="1">
      <c r="A5" s="3947"/>
      <c r="B5" s="3947"/>
      <c r="C5" s="3948">
        <v>2013</v>
      </c>
      <c r="D5" s="3948">
        <v>2014</v>
      </c>
      <c r="E5" s="3948">
        <v>2015</v>
      </c>
    </row>
    <row r="6" spans="1:11">
      <c r="A6" s="3949" t="s">
        <v>608</v>
      </c>
      <c r="C6" s="3950">
        <v>98042059.748604164</v>
      </c>
      <c r="D6" s="3950">
        <f>98042059.7486042-4475501+3274830</f>
        <v>96841388.748604193</v>
      </c>
      <c r="E6" s="3950">
        <f>98042059.7486042-4475501+3274830</f>
        <v>96841388.748604193</v>
      </c>
      <c r="G6" s="3950"/>
    </row>
    <row r="7" spans="1:11">
      <c r="A7" s="3949"/>
      <c r="C7" s="3950"/>
      <c r="D7" s="3950"/>
      <c r="E7" s="3950"/>
    </row>
    <row r="8" spans="1:11">
      <c r="A8" s="3949" t="s">
        <v>609</v>
      </c>
      <c r="C8" s="3950"/>
      <c r="D8" s="3950"/>
      <c r="E8" s="3950"/>
    </row>
    <row r="9" spans="1:11">
      <c r="B9" s="3946" t="s">
        <v>610</v>
      </c>
      <c r="C9" s="3950">
        <v>1603670</v>
      </c>
      <c r="D9" s="3950">
        <v>1659798</v>
      </c>
      <c r="E9" s="3950">
        <v>1659798</v>
      </c>
    </row>
    <row r="10" spans="1:11">
      <c r="B10" s="3946" t="s">
        <v>611</v>
      </c>
      <c r="C10" s="3950">
        <v>1475274</v>
      </c>
      <c r="D10" s="3950">
        <v>1526909</v>
      </c>
      <c r="E10" s="3950">
        <v>1526909</v>
      </c>
    </row>
    <row r="11" spans="1:11">
      <c r="A11" s="3951"/>
      <c r="B11" s="3946" t="s">
        <v>197</v>
      </c>
      <c r="C11" s="3950">
        <v>2095829</v>
      </c>
      <c r="D11" s="3950">
        <v>2169183</v>
      </c>
      <c r="E11" s="3950">
        <v>2169183</v>
      </c>
    </row>
    <row r="12" spans="1:11">
      <c r="A12" s="3951"/>
      <c r="B12" s="3946" t="s">
        <v>612</v>
      </c>
      <c r="C12" s="3950">
        <v>1870823</v>
      </c>
      <c r="D12" s="3950">
        <v>1936302</v>
      </c>
      <c r="E12" s="3950">
        <v>1936302</v>
      </c>
    </row>
    <row r="13" spans="1:11">
      <c r="A13" s="3951"/>
      <c r="B13" s="3946" t="s">
        <v>613</v>
      </c>
      <c r="C13" s="3950">
        <v>1682175</v>
      </c>
      <c r="D13" s="3950">
        <v>1741051</v>
      </c>
      <c r="E13" s="3950">
        <v>1741051</v>
      </c>
    </row>
    <row r="14" spans="1:11">
      <c r="A14" s="3951"/>
      <c r="B14" s="3946" t="s">
        <v>198</v>
      </c>
      <c r="C14" s="3950">
        <v>1560016</v>
      </c>
      <c r="D14" s="3950">
        <v>1614617</v>
      </c>
      <c r="E14" s="3950">
        <v>1614617</v>
      </c>
    </row>
    <row r="15" spans="1:11" s="3951" customFormat="1" ht="13.8" thickBot="1">
      <c r="A15" s="3952"/>
      <c r="B15" s="3952" t="s">
        <v>614</v>
      </c>
      <c r="C15" s="3953">
        <v>1859876</v>
      </c>
      <c r="D15" s="3953">
        <v>1924972</v>
      </c>
      <c r="E15" s="3953">
        <v>1924972</v>
      </c>
    </row>
    <row r="16" spans="1:11" ht="14.4" thickTop="1" thickBot="1">
      <c r="A16" s="3954"/>
      <c r="B16" s="3954" t="s">
        <v>615</v>
      </c>
      <c r="C16" s="3955">
        <f>SUM(C9:C15)</f>
        <v>12147663</v>
      </c>
      <c r="D16" s="3955">
        <f>SUM(D9:D15)</f>
        <v>12572832</v>
      </c>
      <c r="E16" s="3955">
        <f>SUM(E9:E15)</f>
        <v>12572832</v>
      </c>
    </row>
    <row r="17" spans="1:11" ht="13.8" thickTop="1">
      <c r="A17" s="3956" t="s">
        <v>616</v>
      </c>
      <c r="C17" s="3957">
        <f>C6+C16</f>
        <v>110189722.74860416</v>
      </c>
      <c r="D17" s="3957">
        <f>D6+D16</f>
        <v>109414220.74860419</v>
      </c>
      <c r="E17" s="3957">
        <f>E6+E16</f>
        <v>109414220.74860419</v>
      </c>
      <c r="F17" s="3946" t="s">
        <v>952</v>
      </c>
    </row>
    <row r="18" spans="1:11">
      <c r="C18" s="3958"/>
      <c r="D18" s="3951"/>
    </row>
    <row r="20" spans="1:11" ht="24.75" customHeight="1">
      <c r="A20" s="4490" t="s">
        <v>446</v>
      </c>
      <c r="B20" s="4490"/>
      <c r="C20" s="4490"/>
      <c r="D20" s="4490"/>
      <c r="E20" s="4490"/>
      <c r="F20" s="4490"/>
      <c r="G20" s="4490"/>
      <c r="H20" s="4490"/>
      <c r="I20" s="4490"/>
      <c r="J20" s="4490"/>
      <c r="K20" s="4490"/>
    </row>
    <row r="21" spans="1:11" hidden="1">
      <c r="B21" s="3946" t="s">
        <v>618</v>
      </c>
    </row>
    <row r="22" spans="1:11" hidden="1">
      <c r="A22" s="3946" t="s">
        <v>617</v>
      </c>
      <c r="B22" s="3946" t="s">
        <v>619</v>
      </c>
    </row>
    <row r="23" spans="1:11" hidden="1">
      <c r="B23" s="3946" t="s">
        <v>620</v>
      </c>
    </row>
  </sheetData>
  <mergeCells count="4">
    <mergeCell ref="A1:E1"/>
    <mergeCell ref="A2:E2"/>
    <mergeCell ref="A3:E3"/>
    <mergeCell ref="A20:K20"/>
  </mergeCells>
  <pageMargins left="0.7" right="0.7" top="0.75" bottom="0.75" header="0.3" footer="0.3"/>
  <pageSetup scale="57" orientation="portrait" r:id="rId1"/>
  <headerFooter>
    <oddFooter>&amp;LHouse Ways and Means Cmte Amendment 1001 2-14-13&amp;R&amp;D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76"/>
  <sheetViews>
    <sheetView zoomScale="85" zoomScaleNormal="85" workbookViewId="0">
      <selection activeCell="A4" sqref="A4"/>
    </sheetView>
  </sheetViews>
  <sheetFormatPr defaultColWidth="9.109375" defaultRowHeight="13.2"/>
  <cols>
    <col min="1" max="1" width="2.88671875" style="3924" customWidth="1"/>
    <col min="2" max="2" width="15.33203125" style="3924" customWidth="1"/>
    <col min="3" max="3" width="10.44140625" style="3924" customWidth="1"/>
    <col min="4" max="4" width="9" style="3924" customWidth="1"/>
    <col min="5" max="5" width="15.33203125" style="3924" customWidth="1"/>
    <col min="6" max="6" width="15.6640625" style="3924" bestFit="1" customWidth="1"/>
    <col min="7" max="7" width="15.33203125" style="3924" bestFit="1" customWidth="1"/>
    <col min="8" max="8" width="19" style="3924" bestFit="1" customWidth="1"/>
    <col min="9" max="9" width="15.33203125" style="3924" bestFit="1" customWidth="1"/>
    <col min="10" max="10" width="19" style="3924" bestFit="1" customWidth="1"/>
    <col min="11" max="11" width="15.33203125" style="3924" bestFit="1" customWidth="1"/>
    <col min="12" max="12" width="2.109375" style="3924" customWidth="1"/>
    <col min="13" max="14" width="10.33203125" style="4016" bestFit="1" customWidth="1"/>
    <col min="15" max="15" width="2" style="3924" customWidth="1"/>
    <col min="16" max="16" width="10.33203125" style="4016" bestFit="1" customWidth="1"/>
    <col min="17" max="17" width="10.33203125" style="4335" bestFit="1" customWidth="1"/>
    <col min="18" max="18" width="12.33203125" style="3924" bestFit="1" customWidth="1"/>
    <col min="19" max="19" width="16.33203125" style="3924" bestFit="1" customWidth="1"/>
    <col min="20" max="16384" width="9.109375" style="3924"/>
  </cols>
  <sheetData>
    <row r="1" spans="1:19">
      <c r="A1" s="4420" t="s">
        <v>643</v>
      </c>
      <c r="B1" s="4420"/>
      <c r="C1" s="4420"/>
      <c r="D1" s="4420"/>
      <c r="E1" s="4420"/>
      <c r="F1" s="4420"/>
      <c r="G1" s="4420"/>
      <c r="H1" s="4420"/>
      <c r="I1" s="4420"/>
      <c r="J1" s="4420"/>
      <c r="K1" s="4420"/>
      <c r="L1" s="4420"/>
      <c r="M1" s="4420"/>
      <c r="N1" s="4420"/>
      <c r="O1" s="4420"/>
      <c r="P1" s="4420"/>
      <c r="Q1" s="4420"/>
    </row>
    <row r="2" spans="1:19">
      <c r="A2" s="4420" t="s">
        <v>683</v>
      </c>
      <c r="B2" s="4420"/>
      <c r="C2" s="4420"/>
      <c r="D2" s="4420"/>
      <c r="E2" s="4420"/>
      <c r="F2" s="4420"/>
      <c r="G2" s="4420"/>
      <c r="H2" s="4420"/>
      <c r="I2" s="4420"/>
      <c r="J2" s="4420"/>
      <c r="K2" s="4420"/>
      <c r="L2" s="4420"/>
      <c r="M2" s="4420"/>
      <c r="N2" s="4420"/>
      <c r="O2" s="4420"/>
      <c r="P2" s="4420"/>
      <c r="Q2" s="4420"/>
    </row>
    <row r="3" spans="1:19">
      <c r="A3" s="4421" t="s">
        <v>971</v>
      </c>
      <c r="B3" s="4421"/>
      <c r="C3" s="4421"/>
      <c r="D3" s="4421"/>
      <c r="E3" s="4421"/>
      <c r="F3" s="4421"/>
      <c r="G3" s="4421"/>
      <c r="H3" s="4421"/>
      <c r="I3" s="4421"/>
      <c r="J3" s="4421"/>
      <c r="K3" s="4421"/>
      <c r="L3" s="4421"/>
      <c r="M3" s="4421"/>
      <c r="N3" s="4421"/>
      <c r="O3" s="4421"/>
      <c r="P3" s="4421"/>
      <c r="Q3" s="4421"/>
    </row>
    <row r="4" spans="1:19" ht="13.8" thickBot="1"/>
    <row r="5" spans="1:19" s="4019" customFormat="1" ht="60.75" customHeight="1" thickBot="1">
      <c r="A5" s="4017"/>
      <c r="B5" s="4017"/>
      <c r="C5" s="4017"/>
      <c r="D5" s="4017"/>
      <c r="E5" s="4017" t="s">
        <v>703</v>
      </c>
      <c r="F5" s="4017" t="s">
        <v>644</v>
      </c>
      <c r="G5" s="4017" t="s">
        <v>771</v>
      </c>
      <c r="H5" s="4017" t="s">
        <v>645</v>
      </c>
      <c r="I5" s="4018" t="s">
        <v>721</v>
      </c>
      <c r="J5" s="4017" t="s">
        <v>645</v>
      </c>
      <c r="K5" s="4018" t="s">
        <v>722</v>
      </c>
      <c r="L5" s="4017"/>
      <c r="M5" s="4017" t="s">
        <v>704</v>
      </c>
      <c r="N5" s="4017" t="s">
        <v>770</v>
      </c>
      <c r="P5" s="4017" t="s">
        <v>705</v>
      </c>
      <c r="Q5" s="4336" t="s">
        <v>706</v>
      </c>
    </row>
    <row r="6" spans="1:19">
      <c r="A6" s="3942" t="s">
        <v>192</v>
      </c>
      <c r="I6" s="4020"/>
      <c r="K6" s="4020"/>
    </row>
    <row r="7" spans="1:19" s="3942" customFormat="1">
      <c r="B7" s="3942" t="s">
        <v>646</v>
      </c>
      <c r="E7" s="4021">
        <f>SUM(E8:E11)</f>
        <v>195936601</v>
      </c>
      <c r="F7" s="4021">
        <f t="shared" ref="F7:K7" si="0">SUM(F8:F11)</f>
        <v>-18784</v>
      </c>
      <c r="G7" s="4021">
        <f t="shared" si="0"/>
        <v>195917817</v>
      </c>
      <c r="H7" s="4021">
        <f>SUM(H8:H11)</f>
        <v>11823973.920804722</v>
      </c>
      <c r="I7" s="4022">
        <f t="shared" si="0"/>
        <v>207741790.92080471</v>
      </c>
      <c r="J7" s="4021">
        <f t="shared" si="0"/>
        <v>222867</v>
      </c>
      <c r="K7" s="4022">
        <f t="shared" si="0"/>
        <v>207964657.92080471</v>
      </c>
      <c r="M7" s="4023">
        <f t="shared" ref="M7:M46" si="1">(I7-E7)/E7</f>
        <v>6.0250049559677263E-2</v>
      </c>
      <c r="N7" s="4023">
        <f t="shared" ref="N7:N46" si="2">(K7-E7)/E7</f>
        <v>6.1387494012947123E-2</v>
      </c>
      <c r="O7" s="4021"/>
      <c r="P7" s="4023">
        <f>(I7-G7)/G7</f>
        <v>6.0351703085813321E-2</v>
      </c>
      <c r="Q7" s="4337">
        <f t="shared" ref="Q7:Q46" si="3">(K7-G7)/G7</f>
        <v>6.1489256593772218E-2</v>
      </c>
    </row>
    <row r="8" spans="1:19">
      <c r="B8" s="3924" t="s">
        <v>647</v>
      </c>
      <c r="E8" s="4024">
        <f>'2013-15 PFF Budget Ops Impact'!C8</f>
        <v>180268458</v>
      </c>
      <c r="F8" s="4024">
        <v>0</v>
      </c>
      <c r="G8" s="4024">
        <f>E8+F8</f>
        <v>180268458</v>
      </c>
      <c r="H8" s="4024">
        <f>I8-G8</f>
        <v>4526783.7331666648</v>
      </c>
      <c r="I8" s="4025">
        <f>'2013-15 PFF Budget Ops Impact'!G8</f>
        <v>184795241.73316666</v>
      </c>
      <c r="J8" s="4024">
        <f t="shared" ref="J8:J11" si="4">K8-I8</f>
        <v>0</v>
      </c>
      <c r="K8" s="4025">
        <f>'2013-15 PFF Budget Ops Impact'!P8</f>
        <v>184795241.73316666</v>
      </c>
      <c r="L8" s="4024"/>
      <c r="M8" s="4026">
        <f t="shared" si="1"/>
        <v>2.5111346618201309E-2</v>
      </c>
      <c r="N8" s="4026">
        <f t="shared" si="2"/>
        <v>2.5111346618201309E-2</v>
      </c>
      <c r="O8" s="4024"/>
      <c r="P8" s="4026">
        <f t="shared" ref="P8:P46" si="5">(I8-G8)/G8</f>
        <v>2.5111346618201309E-2</v>
      </c>
      <c r="Q8" s="4335">
        <f t="shared" si="3"/>
        <v>2.5111346618201309E-2</v>
      </c>
    </row>
    <row r="9" spans="1:19">
      <c r="B9" s="3924" t="s">
        <v>648</v>
      </c>
      <c r="E9" s="4024">
        <f>'Capital Projects and FR'!C5</f>
        <v>15668143</v>
      </c>
      <c r="F9" s="4024">
        <f>G9-E9</f>
        <v>-18784</v>
      </c>
      <c r="G9" s="4024">
        <f>'Capital Projects and FR'!D5</f>
        <v>15649359</v>
      </c>
      <c r="H9" s="4024">
        <f t="shared" ref="H9:H11" si="6">I9-G9</f>
        <v>1808309.4752721488</v>
      </c>
      <c r="I9" s="4025">
        <f>'Capital Projects and FR'!E5</f>
        <v>17457668.475272149</v>
      </c>
      <c r="J9" s="4024">
        <f t="shared" si="4"/>
        <v>222867</v>
      </c>
      <c r="K9" s="4025">
        <f>'Capital Projects and FR'!F5</f>
        <v>17680535.475272149</v>
      </c>
      <c r="L9" s="4024"/>
      <c r="M9" s="4026">
        <f t="shared" si="1"/>
        <v>0.11421426746437972</v>
      </c>
      <c r="N9" s="4026">
        <f t="shared" si="2"/>
        <v>0.12843848025079607</v>
      </c>
      <c r="O9" s="4027"/>
      <c r="P9" s="4026">
        <f t="shared" si="5"/>
        <v>0.11555166414625345</v>
      </c>
      <c r="Q9" s="4335">
        <f t="shared" si="3"/>
        <v>0.12979295032289495</v>
      </c>
      <c r="S9" s="3931"/>
    </row>
    <row r="10" spans="1:19">
      <c r="B10" s="3924" t="s">
        <v>936</v>
      </c>
      <c r="E10" s="4024">
        <v>0</v>
      </c>
      <c r="F10" s="4024">
        <v>0</v>
      </c>
      <c r="G10" s="4024">
        <v>0</v>
      </c>
      <c r="H10" s="4024">
        <f t="shared" si="6"/>
        <v>0</v>
      </c>
      <c r="I10" s="4025">
        <v>0</v>
      </c>
      <c r="J10" s="4024">
        <f t="shared" si="4"/>
        <v>0</v>
      </c>
      <c r="K10" s="4025">
        <v>0</v>
      </c>
      <c r="L10" s="4024"/>
      <c r="M10" s="4026" t="e">
        <f t="shared" ref="M10" si="7">(I10-E10)/E10</f>
        <v>#DIV/0!</v>
      </c>
      <c r="N10" s="4026" t="e">
        <f t="shared" ref="N10" si="8">(K10-E10)/E10</f>
        <v>#DIV/0!</v>
      </c>
      <c r="O10" s="4027"/>
      <c r="P10" s="4026" t="e">
        <f t="shared" ref="P10" si="9">(I10-G10)/G10</f>
        <v>#DIV/0!</v>
      </c>
      <c r="Q10" s="4335" t="e">
        <f t="shared" ref="Q10" si="10">(K10-G10)/G10</f>
        <v>#DIV/0!</v>
      </c>
      <c r="S10" s="3931"/>
    </row>
    <row r="11" spans="1:19">
      <c r="A11" s="4028"/>
      <c r="B11" s="4028" t="s">
        <v>649</v>
      </c>
      <c r="C11" s="4028"/>
      <c r="D11" s="4028"/>
      <c r="E11" s="4029">
        <v>0</v>
      </c>
      <c r="F11" s="4029">
        <v>0</v>
      </c>
      <c r="G11" s="4029">
        <f t="shared" ref="G11" si="11">E11+F11</f>
        <v>0</v>
      </c>
      <c r="H11" s="4029">
        <f t="shared" si="6"/>
        <v>5488880.7123659085</v>
      </c>
      <c r="I11" s="4030">
        <f>'R&amp;R Funding'!G14</f>
        <v>5488880.7123659085</v>
      </c>
      <c r="J11" s="4029">
        <f t="shared" si="4"/>
        <v>0</v>
      </c>
      <c r="K11" s="4030">
        <f>'R&amp;R Funding'!H14</f>
        <v>5488880.7123659085</v>
      </c>
      <c r="L11" s="4029"/>
      <c r="M11" s="4123" t="e">
        <f t="shared" si="1"/>
        <v>#DIV/0!</v>
      </c>
      <c r="N11" s="4032" t="e">
        <f t="shared" si="2"/>
        <v>#DIV/0!</v>
      </c>
      <c r="P11" s="4123" t="e">
        <f t="shared" si="5"/>
        <v>#DIV/0!</v>
      </c>
      <c r="Q11" s="4338" t="e">
        <f t="shared" si="3"/>
        <v>#DIV/0!</v>
      </c>
      <c r="S11" s="3931"/>
    </row>
    <row r="12" spans="1:19" s="3942" customFormat="1">
      <c r="B12" s="3942" t="s">
        <v>650</v>
      </c>
      <c r="E12" s="4021">
        <f t="shared" ref="E12:K12" si="12">SUM(E13:E16)</f>
        <v>9730182.9000000004</v>
      </c>
      <c r="F12" s="4021">
        <f t="shared" si="12"/>
        <v>0</v>
      </c>
      <c r="G12" s="4021">
        <f t="shared" si="12"/>
        <v>9730182.9000000004</v>
      </c>
      <c r="H12" s="4021">
        <f t="shared" si="12"/>
        <v>1242709.7294647989</v>
      </c>
      <c r="I12" s="4022">
        <f>SUM(I13:I16)</f>
        <v>10972892.6294648</v>
      </c>
      <c r="J12" s="4021">
        <f t="shared" si="12"/>
        <v>-154644</v>
      </c>
      <c r="K12" s="4022">
        <f t="shared" si="12"/>
        <v>10818248.6294648</v>
      </c>
      <c r="L12" s="4024"/>
      <c r="M12" s="4023">
        <f t="shared" si="1"/>
        <v>0.12771699589170099</v>
      </c>
      <c r="N12" s="4023">
        <f t="shared" si="2"/>
        <v>0.11182376946529948</v>
      </c>
      <c r="P12" s="4023">
        <f t="shared" si="5"/>
        <v>0.12771699589170099</v>
      </c>
      <c r="Q12" s="4337">
        <f t="shared" si="3"/>
        <v>0.11182376946529948</v>
      </c>
      <c r="S12" s="4033"/>
    </row>
    <row r="13" spans="1:19">
      <c r="B13" s="3924" t="s">
        <v>647</v>
      </c>
      <c r="E13" s="4024">
        <f>'2013-15 PFF Budget Ops Impact'!C9</f>
        <v>8330920.9000000004</v>
      </c>
      <c r="F13" s="4024">
        <v>0</v>
      </c>
      <c r="G13" s="4024">
        <f t="shared" ref="G13:G16" si="13">E13+F13</f>
        <v>8330920.9000000004</v>
      </c>
      <c r="H13" s="4024">
        <f t="shared" ref="H13:H16" si="14">I13-G13</f>
        <v>657956.36690833233</v>
      </c>
      <c r="I13" s="4025">
        <f>'2013-15 PFF Budget Ops Impact'!G9</f>
        <v>8988877.2669083327</v>
      </c>
      <c r="J13" s="4024">
        <f t="shared" ref="J13:J16" si="15">K13-I13</f>
        <v>0</v>
      </c>
      <c r="K13" s="4025">
        <f>'2013-15 PFF Budget Ops Impact'!P9</f>
        <v>8988877.2669083327</v>
      </c>
      <c r="L13" s="4024"/>
      <c r="M13" s="4026">
        <f t="shared" si="1"/>
        <v>7.897762742031704E-2</v>
      </c>
      <c r="N13" s="4026">
        <f t="shared" si="2"/>
        <v>7.897762742031704E-2</v>
      </c>
      <c r="P13" s="4026">
        <f t="shared" si="5"/>
        <v>7.897762742031704E-2</v>
      </c>
      <c r="Q13" s="4335">
        <f t="shared" si="3"/>
        <v>7.897762742031704E-2</v>
      </c>
    </row>
    <row r="14" spans="1:19">
      <c r="B14" s="3924" t="s">
        <v>648</v>
      </c>
      <c r="E14" s="4024">
        <f>'Capital Projects and FR'!C6</f>
        <v>1399262</v>
      </c>
      <c r="F14" s="4024">
        <f>G14-E14</f>
        <v>0</v>
      </c>
      <c r="G14" s="4024">
        <f>'Capital Projects and FR'!D6</f>
        <v>1399262</v>
      </c>
      <c r="H14" s="4024">
        <f t="shared" si="14"/>
        <v>1404</v>
      </c>
      <c r="I14" s="4025">
        <f>'Capital Projects and FR'!E6</f>
        <v>1400666</v>
      </c>
      <c r="J14" s="4024">
        <f t="shared" si="15"/>
        <v>-154644</v>
      </c>
      <c r="K14" s="4025">
        <f>'Capital Projects and FR'!F6</f>
        <v>1246022</v>
      </c>
      <c r="L14" s="4024"/>
      <c r="M14" s="4026">
        <f t="shared" si="1"/>
        <v>1.0033860706572465E-3</v>
      </c>
      <c r="N14" s="4026">
        <f t="shared" si="2"/>
        <v>-0.10951487284011142</v>
      </c>
      <c r="P14" s="4026">
        <f t="shared" si="5"/>
        <v>1.0033860706572465E-3</v>
      </c>
      <c r="Q14" s="4335">
        <f t="shared" si="3"/>
        <v>-0.10951487284011142</v>
      </c>
    </row>
    <row r="15" spans="1:19">
      <c r="B15" s="3924" t="s">
        <v>936</v>
      </c>
      <c r="E15" s="4024">
        <v>0</v>
      </c>
      <c r="F15" s="4024">
        <v>0</v>
      </c>
      <c r="G15" s="4024">
        <v>0</v>
      </c>
      <c r="H15" s="4024">
        <f t="shared" si="14"/>
        <v>400000</v>
      </c>
      <c r="I15" s="4025">
        <f>'Capital Projects and FR'!N65/2</f>
        <v>400000</v>
      </c>
      <c r="J15" s="4024">
        <f t="shared" si="15"/>
        <v>0</v>
      </c>
      <c r="K15" s="4025">
        <f>'Capital Projects and FR'!N65/2</f>
        <v>400000</v>
      </c>
      <c r="L15" s="4024"/>
      <c r="M15" s="4026" t="e">
        <f t="shared" ref="M15" si="16">(I15-E15)/E15</f>
        <v>#DIV/0!</v>
      </c>
      <c r="N15" s="4026" t="e">
        <f t="shared" ref="N15" si="17">(K15-E15)/E15</f>
        <v>#DIV/0!</v>
      </c>
      <c r="P15" s="4026" t="e">
        <f t="shared" ref="P15" si="18">(I15-G15)/G15</f>
        <v>#DIV/0!</v>
      </c>
      <c r="Q15" s="4335" t="e">
        <f t="shared" ref="Q15" si="19">(K15-G15)/G15</f>
        <v>#DIV/0!</v>
      </c>
      <c r="S15" s="3931"/>
    </row>
    <row r="16" spans="1:19">
      <c r="A16" s="4028"/>
      <c r="B16" s="4028" t="s">
        <v>649</v>
      </c>
      <c r="C16" s="4028"/>
      <c r="D16" s="4028"/>
      <c r="E16" s="4029">
        <v>0</v>
      </c>
      <c r="F16" s="4029">
        <v>0</v>
      </c>
      <c r="G16" s="4029">
        <f t="shared" si="13"/>
        <v>0</v>
      </c>
      <c r="H16" s="4029">
        <f t="shared" si="14"/>
        <v>183349.36255646666</v>
      </c>
      <c r="I16" s="4030">
        <f>'R&amp;R Funding'!G15</f>
        <v>183349.36255646666</v>
      </c>
      <c r="J16" s="4029">
        <f t="shared" si="15"/>
        <v>0</v>
      </c>
      <c r="K16" s="4030">
        <f>'R&amp;R Funding'!H15</f>
        <v>183349.36255646666</v>
      </c>
      <c r="L16" s="4029"/>
      <c r="M16" s="4123" t="e">
        <f t="shared" si="1"/>
        <v>#DIV/0!</v>
      </c>
      <c r="N16" s="4032" t="e">
        <f t="shared" si="2"/>
        <v>#DIV/0!</v>
      </c>
      <c r="P16" s="4123" t="e">
        <f t="shared" si="5"/>
        <v>#DIV/0!</v>
      </c>
      <c r="Q16" s="4338" t="e">
        <f t="shared" si="3"/>
        <v>#DIV/0!</v>
      </c>
    </row>
    <row r="17" spans="1:19" s="3942" customFormat="1">
      <c r="B17" s="3942" t="s">
        <v>651</v>
      </c>
      <c r="E17" s="4021">
        <f t="shared" ref="E17:K17" si="20">SUM(E18:E21)</f>
        <v>13172734.6</v>
      </c>
      <c r="F17" s="4021">
        <f t="shared" si="20"/>
        <v>-129671</v>
      </c>
      <c r="G17" s="4021">
        <f t="shared" si="20"/>
        <v>13043063.6</v>
      </c>
      <c r="H17" s="4021">
        <f t="shared" si="20"/>
        <v>5514305.4432780314</v>
      </c>
      <c r="I17" s="4022">
        <f t="shared" si="20"/>
        <v>18557369.043278031</v>
      </c>
      <c r="J17" s="4021">
        <f t="shared" si="20"/>
        <v>-217925</v>
      </c>
      <c r="K17" s="4022">
        <f t="shared" si="20"/>
        <v>18339444.043278031</v>
      </c>
      <c r="L17" s="4024"/>
      <c r="M17" s="4023">
        <f t="shared" si="1"/>
        <v>0.4087711934375442</v>
      </c>
      <c r="N17" s="4023">
        <f t="shared" si="2"/>
        <v>0.39222755184622271</v>
      </c>
      <c r="P17" s="4023">
        <f t="shared" si="5"/>
        <v>0.42277685767613921</v>
      </c>
      <c r="Q17" s="4337">
        <f t="shared" si="3"/>
        <v>0.40606874318070729</v>
      </c>
    </row>
    <row r="18" spans="1:19">
      <c r="B18" s="3924" t="s">
        <v>647</v>
      </c>
      <c r="E18" s="4024">
        <f>'2013-15 PFF Budget Ops Impact'!C10</f>
        <v>11354681.6</v>
      </c>
      <c r="F18" s="4024">
        <v>0</v>
      </c>
      <c r="G18" s="4024">
        <f t="shared" ref="G18:G21" si="21">E18+F18</f>
        <v>11354681.6</v>
      </c>
      <c r="H18" s="4024">
        <f t="shared" ref="H18:H21" si="22">I18-G18</f>
        <v>710304.83423999883</v>
      </c>
      <c r="I18" s="4025">
        <f>'2013-15 PFF Budget Ops Impact'!G10</f>
        <v>12064986.434239998</v>
      </c>
      <c r="J18" s="4024">
        <f t="shared" ref="J18:J21" si="23">K18-I18</f>
        <v>0</v>
      </c>
      <c r="K18" s="4025">
        <f>'2013-15 PFF Budget Ops Impact'!P10</f>
        <v>12064986.434239998</v>
      </c>
      <c r="L18" s="4024"/>
      <c r="M18" s="4026">
        <f t="shared" si="1"/>
        <v>6.2556120837417309E-2</v>
      </c>
      <c r="N18" s="4026">
        <f t="shared" si="2"/>
        <v>6.2556120837417309E-2</v>
      </c>
      <c r="P18" s="4026">
        <f t="shared" si="5"/>
        <v>6.2556120837417309E-2</v>
      </c>
      <c r="Q18" s="4335">
        <f t="shared" si="3"/>
        <v>6.2556120837417309E-2</v>
      </c>
    </row>
    <row r="19" spans="1:19">
      <c r="B19" s="3924" t="s">
        <v>648</v>
      </c>
      <c r="E19" s="4024">
        <f>'Capital Projects and FR'!C7</f>
        <v>1818053</v>
      </c>
      <c r="F19" s="4024">
        <f>G19-E19</f>
        <v>-129671</v>
      </c>
      <c r="G19" s="4024">
        <f>'Capital Projects and FR'!D7</f>
        <v>1688382</v>
      </c>
      <c r="H19" s="4024">
        <f t="shared" si="22"/>
        <v>107136</v>
      </c>
      <c r="I19" s="4025">
        <f>'Capital Projects and FR'!E7</f>
        <v>1795518</v>
      </c>
      <c r="J19" s="4024">
        <f t="shared" si="23"/>
        <v>-217925</v>
      </c>
      <c r="K19" s="4025">
        <f>'Capital Projects and FR'!F7</f>
        <v>1577593</v>
      </c>
      <c r="L19" s="4024"/>
      <c r="M19" s="4026">
        <f t="shared" si="1"/>
        <v>-1.2395128194832603E-2</v>
      </c>
      <c r="N19" s="4026">
        <f t="shared" si="2"/>
        <v>-0.13226237078897041</v>
      </c>
      <c r="P19" s="4026">
        <f t="shared" si="5"/>
        <v>6.3454834273286492E-2</v>
      </c>
      <c r="Q19" s="4335">
        <f t="shared" si="3"/>
        <v>-6.5618444167255985E-2</v>
      </c>
    </row>
    <row r="20" spans="1:19">
      <c r="B20" s="3924" t="s">
        <v>936</v>
      </c>
      <c r="E20" s="4024">
        <v>0</v>
      </c>
      <c r="F20" s="4024">
        <v>0</v>
      </c>
      <c r="G20" s="4024">
        <v>0</v>
      </c>
      <c r="H20" s="4024">
        <f t="shared" si="22"/>
        <v>4455000</v>
      </c>
      <c r="I20" s="4025">
        <f>'Capital Projects and FR'!N66/2</f>
        <v>4455000</v>
      </c>
      <c r="J20" s="4024">
        <f t="shared" si="23"/>
        <v>0</v>
      </c>
      <c r="K20" s="4025">
        <f>'Capital Projects and FR'!N66/2</f>
        <v>4455000</v>
      </c>
      <c r="L20" s="4024"/>
      <c r="M20" s="4026" t="e">
        <f t="shared" si="1"/>
        <v>#DIV/0!</v>
      </c>
      <c r="N20" s="4026" t="e">
        <f t="shared" si="2"/>
        <v>#DIV/0!</v>
      </c>
      <c r="P20" s="4026" t="e">
        <f t="shared" si="5"/>
        <v>#DIV/0!</v>
      </c>
      <c r="Q20" s="4335" t="e">
        <f t="shared" si="3"/>
        <v>#DIV/0!</v>
      </c>
      <c r="S20" s="3931"/>
    </row>
    <row r="21" spans="1:19">
      <c r="A21" s="4028"/>
      <c r="B21" s="4028" t="s">
        <v>649</v>
      </c>
      <c r="C21" s="4028"/>
      <c r="D21" s="4028"/>
      <c r="E21" s="4029">
        <v>0</v>
      </c>
      <c r="F21" s="4029">
        <v>0</v>
      </c>
      <c r="G21" s="4029">
        <f t="shared" si="21"/>
        <v>0</v>
      </c>
      <c r="H21" s="4029">
        <f t="shared" si="22"/>
        <v>241864.609038033</v>
      </c>
      <c r="I21" s="4030">
        <f>'R&amp;R Funding'!G16</f>
        <v>241864.609038033</v>
      </c>
      <c r="J21" s="4029">
        <f t="shared" si="23"/>
        <v>0</v>
      </c>
      <c r="K21" s="4030">
        <f>'R&amp;R Funding'!H16</f>
        <v>241864.609038033</v>
      </c>
      <c r="L21" s="4029"/>
      <c r="M21" s="4123" t="e">
        <f t="shared" si="1"/>
        <v>#DIV/0!</v>
      </c>
      <c r="N21" s="4032" t="e">
        <f t="shared" si="2"/>
        <v>#DIV/0!</v>
      </c>
      <c r="P21" s="4123" t="e">
        <f>(I21-G21)/G21</f>
        <v>#DIV/0!</v>
      </c>
      <c r="Q21" s="4338" t="e">
        <f t="shared" si="3"/>
        <v>#DIV/0!</v>
      </c>
    </row>
    <row r="22" spans="1:19" s="3942" customFormat="1">
      <c r="B22" s="3942" t="s">
        <v>652</v>
      </c>
      <c r="E22" s="4021">
        <f t="shared" ref="E22:K22" si="24">SUM(E23:E26)</f>
        <v>19077189</v>
      </c>
      <c r="F22" s="4021">
        <f t="shared" si="24"/>
        <v>-59990</v>
      </c>
      <c r="G22" s="4021">
        <f t="shared" si="24"/>
        <v>19017199</v>
      </c>
      <c r="H22" s="4021">
        <f t="shared" si="24"/>
        <v>6130596.8649962759</v>
      </c>
      <c r="I22" s="4022">
        <f t="shared" si="24"/>
        <v>25147795.864996273</v>
      </c>
      <c r="J22" s="4021">
        <f t="shared" si="24"/>
        <v>446695</v>
      </c>
      <c r="K22" s="4022">
        <f t="shared" si="24"/>
        <v>25594490.864996273</v>
      </c>
      <c r="L22" s="4024"/>
      <c r="M22" s="4023">
        <f t="shared" si="1"/>
        <v>0.3182128596092576</v>
      </c>
      <c r="N22" s="4023">
        <f t="shared" si="2"/>
        <v>0.34162799692325074</v>
      </c>
      <c r="P22" s="4023">
        <f t="shared" si="5"/>
        <v>0.32237117910982965</v>
      </c>
      <c r="Q22" s="4337">
        <f t="shared" si="3"/>
        <v>0.34586017977706773</v>
      </c>
    </row>
    <row r="23" spans="1:19">
      <c r="B23" s="3924" t="s">
        <v>647</v>
      </c>
      <c r="E23" s="4024">
        <f>'2013-15 PFF Budget Ops Impact'!C11</f>
        <v>16275368</v>
      </c>
      <c r="F23" s="4024">
        <v>0</v>
      </c>
      <c r="G23" s="4024">
        <f t="shared" ref="G23:G26" si="25">E23+F23</f>
        <v>16275368</v>
      </c>
      <c r="H23" s="4024">
        <f t="shared" ref="H23:H26" si="26">I23-G23</f>
        <v>444868.79399999976</v>
      </c>
      <c r="I23" s="4025">
        <f>'2013-15 PFF Budget Ops Impact'!G11</f>
        <v>16720236.794</v>
      </c>
      <c r="J23" s="4024">
        <f t="shared" ref="J23:J26" si="27">K23-I23</f>
        <v>0</v>
      </c>
      <c r="K23" s="4025">
        <f>'2013-15 PFF Budget Ops Impact'!P11</f>
        <v>16720236.794</v>
      </c>
      <c r="L23" s="4024"/>
      <c r="M23" s="4026">
        <f t="shared" si="1"/>
        <v>2.7333870054428246E-2</v>
      </c>
      <c r="N23" s="4026">
        <f t="shared" si="2"/>
        <v>2.7333870054428246E-2</v>
      </c>
      <c r="P23" s="4026">
        <f t="shared" si="5"/>
        <v>2.7333870054428246E-2</v>
      </c>
      <c r="Q23" s="4335">
        <f t="shared" si="3"/>
        <v>2.7333870054428246E-2</v>
      </c>
    </row>
    <row r="24" spans="1:19">
      <c r="B24" s="3924" t="s">
        <v>648</v>
      </c>
      <c r="E24" s="4024">
        <f>'Capital Projects and FR'!C8</f>
        <v>2801821</v>
      </c>
      <c r="F24" s="4024">
        <f>G24-E24</f>
        <v>-59990</v>
      </c>
      <c r="G24" s="4024">
        <f>'Capital Projects and FR'!D8</f>
        <v>2741831</v>
      </c>
      <c r="H24" s="4024">
        <f t="shared" si="26"/>
        <v>3845674.4470117483</v>
      </c>
      <c r="I24" s="4025">
        <f>'Capital Projects and FR'!E8</f>
        <v>6587505.4470117483</v>
      </c>
      <c r="J24" s="4024">
        <f t="shared" si="27"/>
        <v>446695</v>
      </c>
      <c r="K24" s="4025">
        <f>'Capital Projects and FR'!F8</f>
        <v>7034200.4470117483</v>
      </c>
      <c r="L24" s="4024"/>
      <c r="M24" s="4026">
        <f t="shared" si="1"/>
        <v>1.3511514286643396</v>
      </c>
      <c r="N24" s="4026">
        <f t="shared" si="2"/>
        <v>1.5105816706391124</v>
      </c>
      <c r="P24" s="4026">
        <f t="shared" si="5"/>
        <v>1.4025935395039841</v>
      </c>
      <c r="Q24" s="4335">
        <f t="shared" si="3"/>
        <v>1.5655120417749118</v>
      </c>
    </row>
    <row r="25" spans="1:19">
      <c r="B25" s="3924" t="s">
        <v>936</v>
      </c>
      <c r="E25" s="4024">
        <v>0</v>
      </c>
      <c r="F25" s="4024">
        <v>0</v>
      </c>
      <c r="G25" s="4024">
        <v>0</v>
      </c>
      <c r="H25" s="4024">
        <f t="shared" si="26"/>
        <v>1375000</v>
      </c>
      <c r="I25" s="4025">
        <f>'Capital Projects and FR'!N67/2</f>
        <v>1375000</v>
      </c>
      <c r="J25" s="4024">
        <f t="shared" si="27"/>
        <v>0</v>
      </c>
      <c r="K25" s="4025">
        <f>'Capital Projects and FR'!N67/2</f>
        <v>1375000</v>
      </c>
      <c r="L25" s="4024"/>
      <c r="M25" s="4026" t="e">
        <f t="shared" ref="M25" si="28">(I25-E25)/E25</f>
        <v>#DIV/0!</v>
      </c>
      <c r="N25" s="4026" t="e">
        <f t="shared" ref="N25" si="29">(K25-E25)/E25</f>
        <v>#DIV/0!</v>
      </c>
      <c r="P25" s="4026" t="e">
        <f t="shared" ref="P25" si="30">(I25-G25)/G25</f>
        <v>#DIV/0!</v>
      </c>
      <c r="Q25" s="4335" t="e">
        <f t="shared" ref="Q25" si="31">(K25-G25)/G25</f>
        <v>#DIV/0!</v>
      </c>
      <c r="S25" s="3931"/>
    </row>
    <row r="26" spans="1:19">
      <c r="A26" s="4028"/>
      <c r="B26" s="4028" t="s">
        <v>649</v>
      </c>
      <c r="C26" s="4028"/>
      <c r="D26" s="4028"/>
      <c r="E26" s="4029">
        <v>0</v>
      </c>
      <c r="F26" s="4029">
        <v>0</v>
      </c>
      <c r="G26" s="4029">
        <f t="shared" si="25"/>
        <v>0</v>
      </c>
      <c r="H26" s="4029">
        <f t="shared" si="26"/>
        <v>465053.62398452748</v>
      </c>
      <c r="I26" s="4030">
        <f>'R&amp;R Funding'!G18</f>
        <v>465053.62398452748</v>
      </c>
      <c r="J26" s="4029">
        <f t="shared" si="27"/>
        <v>0</v>
      </c>
      <c r="K26" s="4030">
        <f>'R&amp;R Funding'!H18</f>
        <v>465053.62398452748</v>
      </c>
      <c r="L26" s="4028"/>
      <c r="M26" s="4123" t="e">
        <f t="shared" si="1"/>
        <v>#DIV/0!</v>
      </c>
      <c r="N26" s="4032" t="e">
        <f t="shared" si="2"/>
        <v>#DIV/0!</v>
      </c>
      <c r="P26" s="4123" t="e">
        <f t="shared" si="5"/>
        <v>#DIV/0!</v>
      </c>
      <c r="Q26" s="4338" t="e">
        <f t="shared" si="3"/>
        <v>#DIV/0!</v>
      </c>
    </row>
    <row r="27" spans="1:19" s="3942" customFormat="1">
      <c r="B27" s="3942" t="s">
        <v>653</v>
      </c>
      <c r="E27" s="4021">
        <f t="shared" ref="E27:K27" si="32">SUM(E28:E31)</f>
        <v>26020749.699999999</v>
      </c>
      <c r="F27" s="4021">
        <f t="shared" si="32"/>
        <v>-171244</v>
      </c>
      <c r="G27" s="4021">
        <f t="shared" si="32"/>
        <v>25849505.699999999</v>
      </c>
      <c r="H27" s="4021">
        <f t="shared" si="32"/>
        <v>6655373.0623831619</v>
      </c>
      <c r="I27" s="4022">
        <f t="shared" si="32"/>
        <v>32504878.762383163</v>
      </c>
      <c r="J27" s="4021">
        <f t="shared" si="32"/>
        <v>-363835</v>
      </c>
      <c r="K27" s="4022">
        <f t="shared" si="32"/>
        <v>32141043.762383163</v>
      </c>
      <c r="M27" s="4023">
        <f t="shared" si="1"/>
        <v>0.24919070884353359</v>
      </c>
      <c r="N27" s="4023">
        <f t="shared" si="2"/>
        <v>0.23520821394255079</v>
      </c>
      <c r="P27" s="4023">
        <f t="shared" si="5"/>
        <v>0.25746616355542784</v>
      </c>
      <c r="Q27" s="4337">
        <f t="shared" si="3"/>
        <v>0.24339103948061816</v>
      </c>
    </row>
    <row r="28" spans="1:19">
      <c r="B28" s="3924" t="s">
        <v>647</v>
      </c>
      <c r="E28" s="4024">
        <f>'2013-15 PFF Budget Ops Impact'!C12</f>
        <v>21756889.699999999</v>
      </c>
      <c r="F28" s="4024">
        <v>0</v>
      </c>
      <c r="G28" s="4024">
        <f t="shared" ref="G28:G31" si="33">E28+F28</f>
        <v>21756889.699999999</v>
      </c>
      <c r="H28" s="4024">
        <f t="shared" ref="H28:H31" si="34">I28-G28</f>
        <v>497968.91660000011</v>
      </c>
      <c r="I28" s="4025">
        <f>'2013-15 PFF Budget Ops Impact'!G12</f>
        <v>22254858.616599999</v>
      </c>
      <c r="J28" s="4024">
        <f t="shared" ref="J28:J31" si="35">K28-I28</f>
        <v>0</v>
      </c>
      <c r="K28" s="4025">
        <f>'2013-15 PFF Budget Ops Impact'!P12</f>
        <v>22254858.616599999</v>
      </c>
      <c r="M28" s="4026">
        <f t="shared" si="1"/>
        <v>2.2887872460924417E-2</v>
      </c>
      <c r="N28" s="4026">
        <f t="shared" si="2"/>
        <v>2.2887872460924417E-2</v>
      </c>
      <c r="P28" s="4026">
        <f t="shared" si="5"/>
        <v>2.2887872460924417E-2</v>
      </c>
      <c r="Q28" s="4335">
        <f t="shared" si="3"/>
        <v>2.2887872460924417E-2</v>
      </c>
    </row>
    <row r="29" spans="1:19">
      <c r="B29" s="3924" t="s">
        <v>648</v>
      </c>
      <c r="E29" s="4024">
        <f>'Capital Projects and FR'!C9</f>
        <v>4263860</v>
      </c>
      <c r="F29" s="4024">
        <f>G29-E29</f>
        <v>-171244</v>
      </c>
      <c r="G29" s="4024">
        <f>'Capital Projects and FR'!D9</f>
        <v>4092616</v>
      </c>
      <c r="H29" s="4024">
        <f t="shared" si="34"/>
        <v>134455</v>
      </c>
      <c r="I29" s="4025">
        <f>'Capital Projects and FR'!E9</f>
        <v>4227071</v>
      </c>
      <c r="J29" s="4024">
        <f t="shared" si="35"/>
        <v>-363835</v>
      </c>
      <c r="K29" s="4025">
        <f>'Capital Projects and FR'!F9</f>
        <v>3863236</v>
      </c>
      <c r="M29" s="4026">
        <f t="shared" si="1"/>
        <v>-8.6280975454165951E-3</v>
      </c>
      <c r="N29" s="4026">
        <f t="shared" si="2"/>
        <v>-9.3958056784228375E-2</v>
      </c>
      <c r="P29" s="4026">
        <f t="shared" si="5"/>
        <v>3.2853070016830313E-2</v>
      </c>
      <c r="Q29" s="4335">
        <f t="shared" si="3"/>
        <v>-5.6047281249938914E-2</v>
      </c>
    </row>
    <row r="30" spans="1:19">
      <c r="B30" s="3924" t="s">
        <v>936</v>
      </c>
      <c r="E30" s="4024">
        <v>0</v>
      </c>
      <c r="F30" s="4024">
        <v>0</v>
      </c>
      <c r="G30" s="4024">
        <v>0</v>
      </c>
      <c r="H30" s="4024">
        <f t="shared" si="34"/>
        <v>5550000</v>
      </c>
      <c r="I30" s="4025">
        <f>'Capital Projects and FR'!N69/2</f>
        <v>5550000</v>
      </c>
      <c r="J30" s="4024">
        <f t="shared" si="35"/>
        <v>0</v>
      </c>
      <c r="K30" s="4025">
        <f>'Capital Projects and FR'!N69/2</f>
        <v>5550000</v>
      </c>
      <c r="L30" s="4024"/>
      <c r="M30" s="4026" t="e">
        <f t="shared" si="1"/>
        <v>#DIV/0!</v>
      </c>
      <c r="N30" s="4026" t="e">
        <f t="shared" si="2"/>
        <v>#DIV/0!</v>
      </c>
      <c r="P30" s="4026" t="e">
        <f t="shared" si="5"/>
        <v>#DIV/0!</v>
      </c>
      <c r="Q30" s="4335" t="e">
        <f t="shared" si="3"/>
        <v>#DIV/0!</v>
      </c>
      <c r="S30" s="3931"/>
    </row>
    <row r="31" spans="1:19">
      <c r="A31" s="4028"/>
      <c r="B31" s="4028" t="s">
        <v>649</v>
      </c>
      <c r="C31" s="4028"/>
      <c r="D31" s="4028"/>
      <c r="E31" s="4029">
        <v>0</v>
      </c>
      <c r="F31" s="4029">
        <v>0</v>
      </c>
      <c r="G31" s="4029">
        <f t="shared" si="33"/>
        <v>0</v>
      </c>
      <c r="H31" s="4029">
        <f t="shared" si="34"/>
        <v>472949.14578316192</v>
      </c>
      <c r="I31" s="4030">
        <f>'R&amp;R Funding'!G19</f>
        <v>472949.14578316192</v>
      </c>
      <c r="J31" s="4029">
        <f t="shared" si="35"/>
        <v>0</v>
      </c>
      <c r="K31" s="4030">
        <f>'R&amp;R Funding'!H19</f>
        <v>472949.14578316192</v>
      </c>
      <c r="L31" s="4028"/>
      <c r="M31" s="4123" t="e">
        <f t="shared" si="1"/>
        <v>#DIV/0!</v>
      </c>
      <c r="N31" s="4032" t="e">
        <f t="shared" si="2"/>
        <v>#DIV/0!</v>
      </c>
      <c r="P31" s="4123" t="e">
        <f t="shared" si="5"/>
        <v>#DIV/0!</v>
      </c>
      <c r="Q31" s="4338" t="e">
        <f t="shared" si="3"/>
        <v>#DIV/0!</v>
      </c>
    </row>
    <row r="32" spans="1:19" s="3942" customFormat="1">
      <c r="B32" s="3942" t="s">
        <v>654</v>
      </c>
      <c r="E32" s="4021">
        <f t="shared" ref="E32:K32" si="36">SUM(E33:E36)</f>
        <v>22029822.5</v>
      </c>
      <c r="F32" s="4021">
        <f t="shared" si="36"/>
        <v>-84891</v>
      </c>
      <c r="G32" s="4021">
        <f t="shared" si="36"/>
        <v>21944931.5</v>
      </c>
      <c r="H32" s="4021">
        <f t="shared" si="36"/>
        <v>3271780.0175407869</v>
      </c>
      <c r="I32" s="4022">
        <f t="shared" si="36"/>
        <v>25216711.517540786</v>
      </c>
      <c r="J32" s="4021">
        <f t="shared" si="36"/>
        <v>-477704</v>
      </c>
      <c r="K32" s="4022">
        <f t="shared" si="36"/>
        <v>24739007.517540786</v>
      </c>
      <c r="M32" s="4023">
        <f t="shared" si="1"/>
        <v>0.14466249183536484</v>
      </c>
      <c r="N32" s="4023">
        <f t="shared" si="2"/>
        <v>0.12297806836804002</v>
      </c>
      <c r="P32" s="4023">
        <f t="shared" si="5"/>
        <v>0.14909046389781561</v>
      </c>
      <c r="Q32" s="4337">
        <f t="shared" si="3"/>
        <v>0.12732215717058795</v>
      </c>
    </row>
    <row r="33" spans="1:19">
      <c r="B33" s="3924" t="s">
        <v>647</v>
      </c>
      <c r="E33" s="4024">
        <f>'2013-15 PFF Budget Ops Impact'!C13</f>
        <v>18976858.5</v>
      </c>
      <c r="F33" s="4024">
        <v>0</v>
      </c>
      <c r="G33" s="4024">
        <f t="shared" ref="G33:G36" si="37">E33+F33</f>
        <v>18976858.5</v>
      </c>
      <c r="H33" s="4024">
        <f t="shared" ref="H33:H36" si="38">I33-G33</f>
        <v>116381.29300000146</v>
      </c>
      <c r="I33" s="4025">
        <f>'2013-15 PFF Budget Ops Impact'!G13</f>
        <v>19093239.793000001</v>
      </c>
      <c r="J33" s="4024">
        <f t="shared" ref="J33:J36" si="39">K33-I33</f>
        <v>0</v>
      </c>
      <c r="K33" s="4025">
        <f>'2013-15 PFF Budget Ops Impact'!P13</f>
        <v>19093239.793000001</v>
      </c>
      <c r="M33" s="4026">
        <f t="shared" si="1"/>
        <v>6.1328008005119214E-3</v>
      </c>
      <c r="N33" s="4026">
        <f t="shared" si="2"/>
        <v>6.1328008005119214E-3</v>
      </c>
      <c r="P33" s="4026">
        <f t="shared" si="5"/>
        <v>6.1328008005119214E-3</v>
      </c>
      <c r="Q33" s="4335">
        <f t="shared" si="3"/>
        <v>6.1328008005119214E-3</v>
      </c>
    </row>
    <row r="34" spans="1:19">
      <c r="B34" s="3924" t="s">
        <v>648</v>
      </c>
      <c r="E34" s="4024">
        <f>'Capital Projects and FR'!C10</f>
        <v>3052964</v>
      </c>
      <c r="F34" s="4024">
        <f>G34-E34</f>
        <v>-84891</v>
      </c>
      <c r="G34" s="4024">
        <f>'Capital Projects and FR'!D10</f>
        <v>2968073</v>
      </c>
      <c r="H34" s="4024">
        <f t="shared" si="38"/>
        <v>967</v>
      </c>
      <c r="I34" s="4025">
        <f>'Capital Projects and FR'!E10</f>
        <v>2969040</v>
      </c>
      <c r="J34" s="4024">
        <f t="shared" si="39"/>
        <v>-477704</v>
      </c>
      <c r="K34" s="4025">
        <f>'Capital Projects and FR'!F10</f>
        <v>2491336</v>
      </c>
      <c r="M34" s="4026">
        <f t="shared" si="1"/>
        <v>-2.7489351332017017E-2</v>
      </c>
      <c r="N34" s="4026">
        <f t="shared" si="2"/>
        <v>-0.18396155342807841</v>
      </c>
      <c r="P34" s="4026">
        <f t="shared" si="5"/>
        <v>3.2580061204694091E-4</v>
      </c>
      <c r="Q34" s="4335">
        <f t="shared" si="3"/>
        <v>-0.16062172325276367</v>
      </c>
    </row>
    <row r="35" spans="1:19">
      <c r="B35" s="3924" t="s">
        <v>936</v>
      </c>
      <c r="E35" s="4024">
        <v>0</v>
      </c>
      <c r="F35" s="4024">
        <v>0</v>
      </c>
      <c r="G35" s="4024">
        <v>0</v>
      </c>
      <c r="H35" s="4024">
        <f t="shared" si="38"/>
        <v>2720000</v>
      </c>
      <c r="I35" s="4025">
        <f>'Capital Projects and FR'!N68/2</f>
        <v>2720000</v>
      </c>
      <c r="J35" s="4024">
        <f t="shared" si="39"/>
        <v>0</v>
      </c>
      <c r="K35" s="4025">
        <f>'Capital Projects and FR'!N68/2</f>
        <v>2720000</v>
      </c>
      <c r="L35" s="4024"/>
      <c r="M35" s="4026" t="e">
        <f t="shared" ref="M35" si="40">(I35-E35)/E35</f>
        <v>#DIV/0!</v>
      </c>
      <c r="N35" s="4026" t="e">
        <f t="shared" ref="N35" si="41">(K35-E35)/E35</f>
        <v>#DIV/0!</v>
      </c>
      <c r="P35" s="4026" t="e">
        <f t="shared" ref="P35" si="42">(I35-G35)/G35</f>
        <v>#DIV/0!</v>
      </c>
      <c r="Q35" s="4335" t="e">
        <f t="shared" ref="Q35" si="43">(K35-G35)/G35</f>
        <v>#DIV/0!</v>
      </c>
      <c r="S35" s="3931"/>
    </row>
    <row r="36" spans="1:19">
      <c r="A36" s="4028"/>
      <c r="B36" s="4028" t="s">
        <v>649</v>
      </c>
      <c r="C36" s="4028"/>
      <c r="D36" s="4028"/>
      <c r="E36" s="4029">
        <v>0</v>
      </c>
      <c r="F36" s="4029">
        <v>0</v>
      </c>
      <c r="G36" s="4029">
        <f t="shared" si="37"/>
        <v>0</v>
      </c>
      <c r="H36" s="4029">
        <f t="shared" si="38"/>
        <v>434431.72454078525</v>
      </c>
      <c r="I36" s="4030">
        <f>'R&amp;R Funding'!G20</f>
        <v>434431.72454078525</v>
      </c>
      <c r="J36" s="4029">
        <f t="shared" si="39"/>
        <v>0</v>
      </c>
      <c r="K36" s="4030">
        <f>'R&amp;R Funding'!H20</f>
        <v>434431.72454078525</v>
      </c>
      <c r="L36" s="4028"/>
      <c r="M36" s="4123" t="e">
        <f t="shared" si="1"/>
        <v>#DIV/0!</v>
      </c>
      <c r="N36" s="4032" t="e">
        <f t="shared" si="2"/>
        <v>#DIV/0!</v>
      </c>
      <c r="P36" s="4123" t="e">
        <f t="shared" si="5"/>
        <v>#DIV/0!</v>
      </c>
      <c r="Q36" s="4338" t="e">
        <f t="shared" si="3"/>
        <v>#DIV/0!</v>
      </c>
    </row>
    <row r="37" spans="1:19" s="3942" customFormat="1">
      <c r="B37" s="3942" t="s">
        <v>746</v>
      </c>
      <c r="E37" s="4021">
        <f t="shared" ref="E37:K37" si="44">SUM(E38:E41)</f>
        <v>109341046.7</v>
      </c>
      <c r="F37" s="4021">
        <f t="shared" si="44"/>
        <v>-219146.20557999983</v>
      </c>
      <c r="G37" s="4021">
        <f t="shared" si="44"/>
        <v>109121900.49442001</v>
      </c>
      <c r="H37" s="4021">
        <f t="shared" si="44"/>
        <v>17202026.60566419</v>
      </c>
      <c r="I37" s="4022">
        <f t="shared" si="44"/>
        <v>126323927.1000842</v>
      </c>
      <c r="J37" s="4021">
        <f t="shared" si="44"/>
        <v>76972.732239999808</v>
      </c>
      <c r="K37" s="4022">
        <f t="shared" si="44"/>
        <v>126400899.83232419</v>
      </c>
      <c r="M37" s="4023">
        <f t="shared" si="1"/>
        <v>0.15532026546883421</v>
      </c>
      <c r="N37" s="4023">
        <f t="shared" si="2"/>
        <v>0.15602423469688798</v>
      </c>
      <c r="P37" s="4023">
        <f t="shared" si="5"/>
        <v>0.1576404601434139</v>
      </c>
      <c r="Q37" s="4337">
        <f t="shared" si="3"/>
        <v>0.15834584313153302</v>
      </c>
    </row>
    <row r="38" spans="1:19">
      <c r="B38" s="3924" t="s">
        <v>647</v>
      </c>
      <c r="E38" s="4024">
        <f>'2013-15 PFF Budget Ops Impact'!C15</f>
        <v>105714221.7</v>
      </c>
      <c r="F38" s="4024">
        <v>0</v>
      </c>
      <c r="G38" s="4024">
        <f t="shared" ref="G38:G41" si="45">E38+F38</f>
        <v>105714221.7</v>
      </c>
      <c r="H38" s="4024">
        <f t="shared" ref="H38:H41" si="46">I38-G38</f>
        <v>3699999.0486041903</v>
      </c>
      <c r="I38" s="4025">
        <f>'Medical Education Funding'!D17</f>
        <v>109414220.74860419</v>
      </c>
      <c r="J38" s="4024">
        <f t="shared" ref="J38:J41" si="47">K38-I38</f>
        <v>0</v>
      </c>
      <c r="K38" s="4025">
        <f>'Medical Education Funding'!E17</f>
        <v>109414220.74860419</v>
      </c>
      <c r="M38" s="4026">
        <f t="shared" si="1"/>
        <v>3.5000012194236207E-2</v>
      </c>
      <c r="N38" s="4026">
        <f t="shared" si="2"/>
        <v>3.5000012194236207E-2</v>
      </c>
      <c r="P38" s="4026">
        <f t="shared" si="5"/>
        <v>3.5000012194236207E-2</v>
      </c>
      <c r="Q38" s="4335">
        <f t="shared" si="3"/>
        <v>3.5000012194236207E-2</v>
      </c>
    </row>
    <row r="39" spans="1:19">
      <c r="B39" s="3924" t="s">
        <v>648</v>
      </c>
      <c r="E39" s="4024">
        <f>'Capital Projects and FR'!C11</f>
        <v>3626825</v>
      </c>
      <c r="F39" s="4024">
        <f>G39-E39</f>
        <v>-219146.20557999983</v>
      </c>
      <c r="G39" s="4024">
        <f>'Capital Projects and FR'!D11</f>
        <v>3407678.7944200002</v>
      </c>
      <c r="H39" s="4024">
        <f t="shared" si="46"/>
        <v>2027.557060000021</v>
      </c>
      <c r="I39" s="4025">
        <f>'Capital Projects and FR'!E11</f>
        <v>3409706.3514800002</v>
      </c>
      <c r="J39" s="4024">
        <f t="shared" si="47"/>
        <v>76972.732239999808</v>
      </c>
      <c r="K39" s="4025">
        <f>'Capital Projects and FR'!F11</f>
        <v>3486679.08372</v>
      </c>
      <c r="L39" s="4035"/>
      <c r="M39" s="4036">
        <f t="shared" si="1"/>
        <v>-5.9864660831443428E-2</v>
      </c>
      <c r="N39" s="4036">
        <f t="shared" si="2"/>
        <v>-3.8641488431341464E-2</v>
      </c>
      <c r="P39" s="4026">
        <f t="shared" si="5"/>
        <v>5.9499653057679656E-4</v>
      </c>
      <c r="Q39" s="4335">
        <f t="shared" si="3"/>
        <v>2.3183021072690619E-2</v>
      </c>
    </row>
    <row r="40" spans="1:19">
      <c r="B40" s="3924" t="s">
        <v>936</v>
      </c>
      <c r="E40" s="4024">
        <v>0</v>
      </c>
      <c r="F40" s="4024">
        <v>0</v>
      </c>
      <c r="G40" s="4024">
        <v>0</v>
      </c>
      <c r="H40" s="4024">
        <f t="shared" si="46"/>
        <v>13500000</v>
      </c>
      <c r="I40" s="4025">
        <f>('Capital Projects and FR'!G70+'Capital Projects and FR'!G62)/2</f>
        <v>13500000</v>
      </c>
      <c r="J40" s="4024">
        <f t="shared" si="47"/>
        <v>0</v>
      </c>
      <c r="K40" s="4025">
        <f>('Capital Projects and FR'!G70+'Capital Projects and FR'!G62)/2</f>
        <v>13500000</v>
      </c>
      <c r="L40" s="4024"/>
      <c r="M40" s="4026" t="e">
        <f t="shared" si="1"/>
        <v>#DIV/0!</v>
      </c>
      <c r="N40" s="4026" t="e">
        <f t="shared" si="2"/>
        <v>#DIV/0!</v>
      </c>
      <c r="P40" s="4026" t="e">
        <f t="shared" si="5"/>
        <v>#DIV/0!</v>
      </c>
      <c r="Q40" s="4335" t="e">
        <f t="shared" si="3"/>
        <v>#DIV/0!</v>
      </c>
      <c r="S40" s="3931"/>
    </row>
    <row r="41" spans="1:19">
      <c r="A41" s="4028"/>
      <c r="B41" s="4028" t="s">
        <v>649</v>
      </c>
      <c r="C41" s="4028"/>
      <c r="D41" s="4028"/>
      <c r="E41" s="4029">
        <v>0</v>
      </c>
      <c r="F41" s="4029">
        <v>0</v>
      </c>
      <c r="G41" s="4029">
        <f t="shared" si="45"/>
        <v>0</v>
      </c>
      <c r="H41" s="4029">
        <f t="shared" si="46"/>
        <v>0</v>
      </c>
      <c r="I41" s="4030"/>
      <c r="J41" s="4029">
        <f t="shared" si="47"/>
        <v>0</v>
      </c>
      <c r="K41" s="4030"/>
      <c r="L41" s="4028"/>
      <c r="M41" s="4123" t="e">
        <f t="shared" si="1"/>
        <v>#DIV/0!</v>
      </c>
      <c r="N41" s="4032" t="e">
        <f t="shared" si="2"/>
        <v>#DIV/0!</v>
      </c>
      <c r="P41" s="4123" t="e">
        <f t="shared" si="5"/>
        <v>#DIV/0!</v>
      </c>
      <c r="Q41" s="4338" t="e">
        <f t="shared" si="3"/>
        <v>#DIV/0!</v>
      </c>
    </row>
    <row r="42" spans="1:19" s="3942" customFormat="1">
      <c r="B42" s="3942" t="s">
        <v>485</v>
      </c>
      <c r="E42" s="4021">
        <f t="shared" ref="E42:K42" si="48">SUM(E43:E46)</f>
        <v>105768442.59999999</v>
      </c>
      <c r="F42" s="4021">
        <f t="shared" si="48"/>
        <v>-485628.92778999917</v>
      </c>
      <c r="G42" s="4021">
        <f t="shared" si="48"/>
        <v>105282813.67220999</v>
      </c>
      <c r="H42" s="4021">
        <f t="shared" si="48"/>
        <v>10035946.413621869</v>
      </c>
      <c r="I42" s="4022">
        <f t="shared" si="48"/>
        <v>115318760.08583187</v>
      </c>
      <c r="J42" s="4021">
        <f t="shared" si="48"/>
        <v>342863.26776000112</v>
      </c>
      <c r="K42" s="4022">
        <f t="shared" si="48"/>
        <v>115661623.35359186</v>
      </c>
      <c r="M42" s="4023">
        <f t="shared" si="1"/>
        <v>9.0294583630674274E-2</v>
      </c>
      <c r="N42" s="4023">
        <f t="shared" si="2"/>
        <v>9.3536224136402918E-2</v>
      </c>
      <c r="P42" s="4023">
        <f t="shared" si="5"/>
        <v>9.5323691147427211E-2</v>
      </c>
      <c r="Q42" s="4337">
        <f t="shared" si="3"/>
        <v>9.8580284087918649E-2</v>
      </c>
    </row>
    <row r="43" spans="1:19">
      <c r="B43" s="3924" t="s">
        <v>647</v>
      </c>
      <c r="E43" s="4024">
        <f>'2013-15 PFF Budget Ops Impact'!C14</f>
        <v>90103643.599999994</v>
      </c>
      <c r="F43" s="4024">
        <v>0</v>
      </c>
      <c r="G43" s="4024">
        <f t="shared" ref="G43" si="49">E43+F43</f>
        <v>90103643.599999994</v>
      </c>
      <c r="H43" s="4024">
        <f t="shared" ref="H43:H46" si="50">I43-G43</f>
        <v>5857332.022633329</v>
      </c>
      <c r="I43" s="4025">
        <f>'2013-15 PFF Budget Ops Impact'!G14</f>
        <v>95960975.622633323</v>
      </c>
      <c r="J43" s="4024">
        <f t="shared" ref="J43:J46" si="51">K43-I43</f>
        <v>0</v>
      </c>
      <c r="K43" s="4025">
        <f>'2013-15 PFF Budget Ops Impact'!P14</f>
        <v>95960975.622633323</v>
      </c>
      <c r="M43" s="4026">
        <f t="shared" si="1"/>
        <v>6.5006605600057332E-2</v>
      </c>
      <c r="N43" s="4026">
        <f t="shared" si="2"/>
        <v>6.5006605600057332E-2</v>
      </c>
      <c r="P43" s="4026">
        <f t="shared" si="5"/>
        <v>6.5006605600057332E-2</v>
      </c>
      <c r="Q43" s="4335">
        <f t="shared" si="3"/>
        <v>6.5006605600057332E-2</v>
      </c>
    </row>
    <row r="44" spans="1:19">
      <c r="B44" s="3924" t="s">
        <v>648</v>
      </c>
      <c r="E44" s="4024">
        <f>'Capital Projects and FR'!C12</f>
        <v>15664799</v>
      </c>
      <c r="F44" s="4024">
        <f>G44-E44</f>
        <v>-485628.92778999917</v>
      </c>
      <c r="G44" s="4024">
        <f>'Capital Projects and FR'!D12</f>
        <v>15179170.072210001</v>
      </c>
      <c r="H44" s="4024">
        <f t="shared" si="50"/>
        <v>8845.576309999451</v>
      </c>
      <c r="I44" s="4025">
        <f>'Capital Projects and FR'!E12</f>
        <v>15188015.64852</v>
      </c>
      <c r="J44" s="4024">
        <f t="shared" si="51"/>
        <v>342863.26776000112</v>
      </c>
      <c r="K44" s="4025">
        <f>'Capital Projects and FR'!F12</f>
        <v>15530878.916280001</v>
      </c>
      <c r="M44" s="4026">
        <f t="shared" si="1"/>
        <v>-3.043660831396558E-2</v>
      </c>
      <c r="N44" s="4026">
        <f t="shared" si="2"/>
        <v>-8.549109613216142E-3</v>
      </c>
      <c r="P44" s="4026">
        <f t="shared" si="5"/>
        <v>5.8274439695447629E-4</v>
      </c>
      <c r="Q44" s="4335">
        <f t="shared" si="3"/>
        <v>2.3170492352141737E-2</v>
      </c>
    </row>
    <row r="45" spans="1:19">
      <c r="B45" s="3924" t="s">
        <v>936</v>
      </c>
      <c r="E45" s="4024">
        <v>0</v>
      </c>
      <c r="F45" s="4024">
        <v>0</v>
      </c>
      <c r="G45" s="4024">
        <v>0</v>
      </c>
      <c r="H45" s="4024">
        <f t="shared" si="50"/>
        <v>0</v>
      </c>
      <c r="I45" s="4025">
        <v>0</v>
      </c>
      <c r="J45" s="4024">
        <f t="shared" si="51"/>
        <v>0</v>
      </c>
      <c r="K45" s="4025">
        <v>0</v>
      </c>
      <c r="L45" s="4024"/>
      <c r="M45" s="4026" t="e">
        <f t="shared" ref="M45" si="52">(I45-E45)/E45</f>
        <v>#DIV/0!</v>
      </c>
      <c r="N45" s="4026" t="e">
        <f t="shared" ref="N45" si="53">(K45-E45)/E45</f>
        <v>#DIV/0!</v>
      </c>
      <c r="P45" s="4026" t="e">
        <f t="shared" ref="P45" si="54">(I45-G45)/G45</f>
        <v>#DIV/0!</v>
      </c>
      <c r="Q45" s="4335" t="e">
        <f t="shared" ref="Q45" si="55">(K45-G45)/G45</f>
        <v>#DIV/0!</v>
      </c>
      <c r="S45" s="3931"/>
    </row>
    <row r="46" spans="1:19">
      <c r="A46" s="4028"/>
      <c r="B46" s="4028" t="s">
        <v>649</v>
      </c>
      <c r="C46" s="4028"/>
      <c r="D46" s="4028"/>
      <c r="E46" s="4029">
        <v>0</v>
      </c>
      <c r="F46" s="4029">
        <v>0</v>
      </c>
      <c r="G46" s="4029">
        <f>E46+F46</f>
        <v>0</v>
      </c>
      <c r="H46" s="4029">
        <f t="shared" si="50"/>
        <v>4169768.8146785414</v>
      </c>
      <c r="I46" s="4030">
        <f>'R&amp;R Funding'!G17</f>
        <v>4169768.8146785414</v>
      </c>
      <c r="J46" s="4029">
        <f t="shared" si="51"/>
        <v>0</v>
      </c>
      <c r="K46" s="4030">
        <f>'R&amp;R Funding'!H17</f>
        <v>4169768.8146785414</v>
      </c>
      <c r="L46" s="4028"/>
      <c r="M46" s="4123" t="e">
        <f t="shared" si="1"/>
        <v>#DIV/0!</v>
      </c>
      <c r="N46" s="4032" t="e">
        <f t="shared" si="2"/>
        <v>#DIV/0!</v>
      </c>
      <c r="P46" s="4123" t="e">
        <f t="shared" si="5"/>
        <v>#DIV/0!</v>
      </c>
      <c r="Q46" s="4338" t="e">
        <f t="shared" si="3"/>
        <v>#DIV/0!</v>
      </c>
    </row>
    <row r="47" spans="1:19">
      <c r="E47" s="4024"/>
      <c r="F47" s="4024"/>
      <c r="G47" s="4024"/>
      <c r="H47" s="4024"/>
      <c r="I47" s="4025"/>
      <c r="J47" s="4024"/>
      <c r="K47" s="4025"/>
      <c r="M47" s="4023"/>
      <c r="P47" s="4023"/>
    </row>
    <row r="48" spans="1:19" s="3942" customFormat="1">
      <c r="B48" s="3942" t="s">
        <v>655</v>
      </c>
      <c r="E48" s="4021">
        <f>'Line Item Funding'!E8+'Line Item Funding'!E9+'Line Item Funding'!E10+'Line Item Funding'!E11+'Line Item Funding'!E12+'Line Item Funding'!E13+'Line Item Funding'!E14+'Line Item Funding'!E15+'Line Item Funding'!E16+'Line Item Funding'!E19</f>
        <v>9022729.5500000007</v>
      </c>
      <c r="F48" s="4021">
        <f>'Line Item Funding'!F8+'Line Item Funding'!F9+'Line Item Funding'!F10+'Line Item Funding'!F11+'Line Item Funding'!F12+'Line Item Funding'!F13+'Line Item Funding'!F14+'Line Item Funding'!F15+'Line Item Funding'!F16+'Line Item Funding'!F19</f>
        <v>0</v>
      </c>
      <c r="G48" s="4021">
        <f>'Line Item Funding'!G8+'Line Item Funding'!G9+'Line Item Funding'!G10+'Line Item Funding'!G11+'Line Item Funding'!G12+'Line Item Funding'!G13+'Line Item Funding'!G14+'Line Item Funding'!G15+'Line Item Funding'!G16+'Line Item Funding'!G19</f>
        <v>9022729.5500000007</v>
      </c>
      <c r="H48" s="4021">
        <f t="shared" ref="H48" si="56">I48-G48</f>
        <v>1667078.2589999996</v>
      </c>
      <c r="I48" s="4022">
        <f>'Line Item Funding'!H8+'Line Item Funding'!H10+'Line Item Funding'!H11+'Line Item Funding'!H12+'Line Item Funding'!H14+'Line Item Funding'!H19+'Line Item Funding'!H15+'Line Item Funding'!H16</f>
        <v>10689807.809</v>
      </c>
      <c r="J48" s="4021">
        <f t="shared" ref="J48" si="57">K48-I48</f>
        <v>0</v>
      </c>
      <c r="K48" s="4022">
        <f>'Line Item Funding'!I8+'Line Item Funding'!I10+'Line Item Funding'!I11+'Line Item Funding'!I12+'Line Item Funding'!I14+'Line Item Funding'!I19+'Line Item Funding'!I15+'Line Item Funding'!I16</f>
        <v>10689807.809</v>
      </c>
      <c r="M48" s="4023">
        <f>(I48-E48)/E48</f>
        <v>0.18476429441465408</v>
      </c>
      <c r="N48" s="4023">
        <f>(K48-E48)/E48</f>
        <v>0.18476429441465408</v>
      </c>
      <c r="O48" s="4033"/>
      <c r="P48" s="4023">
        <f>(I48-G48)/G48</f>
        <v>0.18476429441465408</v>
      </c>
      <c r="Q48" s="4337">
        <f>(K48-G48)/G48</f>
        <v>0.18476429441465408</v>
      </c>
    </row>
    <row r="49" spans="1:19" s="3942" customFormat="1">
      <c r="E49" s="4021"/>
      <c r="F49" s="4021"/>
      <c r="G49" s="4021"/>
      <c r="H49" s="4021"/>
      <c r="I49" s="4022"/>
      <c r="J49" s="4021"/>
      <c r="K49" s="4022"/>
      <c r="M49" s="4023"/>
      <c r="N49" s="4023"/>
      <c r="O49" s="4033"/>
      <c r="P49" s="4023"/>
      <c r="Q49" s="4337"/>
    </row>
    <row r="50" spans="1:19">
      <c r="A50" s="3924" t="s">
        <v>656</v>
      </c>
      <c r="E50" s="4034">
        <f>'2013-15 PFF Budget Ops Impact'!C16</f>
        <v>452781041.99999994</v>
      </c>
      <c r="F50" s="4034">
        <f>'[7]Institution Summary - Version A'!F18</f>
        <v>0</v>
      </c>
      <c r="G50" s="4034">
        <f t="shared" ref="G50:G51" si="58">E50+F50</f>
        <v>452781041.99999994</v>
      </c>
      <c r="H50" s="4034">
        <f t="shared" ref="H50" si="59">I50-G50</f>
        <v>16511595.720048368</v>
      </c>
      <c r="I50" s="4037">
        <f>'2013-15 PFF Budget Ops Impact'!G16</f>
        <v>469292637.72004831</v>
      </c>
      <c r="J50" s="3931">
        <f t="shared" ref="J50:J51" si="60">K50-I50</f>
        <v>0</v>
      </c>
      <c r="K50" s="4037">
        <f>'2013-15 PFF Budget Ops Impact'!P16</f>
        <v>469292637.72004831</v>
      </c>
      <c r="M50" s="4026">
        <f>(I50-E50)/E50</f>
        <v>3.6467065067729516E-2</v>
      </c>
      <c r="N50" s="4026">
        <f>(K50-E50)/E50</f>
        <v>3.6467065067729516E-2</v>
      </c>
      <c r="P50" s="4026">
        <f>(I50-G50)/G50</f>
        <v>3.6467065067729516E-2</v>
      </c>
      <c r="Q50" s="4335">
        <f>(K50-G50)/G50</f>
        <v>3.6467065067729516E-2</v>
      </c>
    </row>
    <row r="51" spans="1:19">
      <c r="A51" s="3942" t="s">
        <v>657</v>
      </c>
      <c r="E51" s="4021">
        <f>E7+E12+E17+E22+E27+E32+E37+E42+E48</f>
        <v>510099498.55000001</v>
      </c>
      <c r="F51" s="4021">
        <f t="shared" ref="F51:K51" si="61">F7+F12+F17+F22+F27+F32+F37+F42+F48</f>
        <v>-1169355.133369999</v>
      </c>
      <c r="G51" s="4021">
        <f t="shared" si="58"/>
        <v>508930143.41663003</v>
      </c>
      <c r="H51" s="4021">
        <f>I51-G51</f>
        <v>63543790.316753864</v>
      </c>
      <c r="I51" s="4022">
        <f>I7+I12+I17+I22+I27+I32+I37+I42+I48</f>
        <v>572473933.73338389</v>
      </c>
      <c r="J51" s="4021">
        <f t="shared" si="60"/>
        <v>-124710</v>
      </c>
      <c r="K51" s="4022">
        <f t="shared" si="61"/>
        <v>572349223.73338389</v>
      </c>
      <c r="M51" s="4023">
        <f>(I51-E51)/E51</f>
        <v>0.12227895804776984</v>
      </c>
      <c r="N51" s="4023">
        <f>(K51-E51)/E51</f>
        <v>0.12203447633321317</v>
      </c>
      <c r="P51" s="4023">
        <f>(I51-G51)/G51</f>
        <v>0.12485758829328064</v>
      </c>
      <c r="Q51" s="4337">
        <f>(K51-G51)/G51</f>
        <v>0.12461254483964912</v>
      </c>
    </row>
    <row r="52" spans="1:19">
      <c r="A52" s="4038"/>
      <c r="B52" s="4038"/>
      <c r="C52" s="4038"/>
      <c r="D52" s="4038"/>
      <c r="E52" s="4038"/>
      <c r="F52" s="4038"/>
      <c r="G52" s="4038"/>
      <c r="H52" s="4038"/>
      <c r="I52" s="4039"/>
      <c r="J52" s="4038"/>
      <c r="K52" s="4039"/>
      <c r="L52" s="4038"/>
      <c r="M52" s="4040"/>
      <c r="N52" s="4040"/>
      <c r="P52" s="4040"/>
      <c r="Q52" s="4339"/>
    </row>
    <row r="53" spans="1:19">
      <c r="A53" s="4148" t="s">
        <v>658</v>
      </c>
      <c r="B53" s="3932"/>
      <c r="C53" s="3932"/>
      <c r="I53" s="4020"/>
      <c r="K53" s="4020"/>
    </row>
    <row r="54" spans="1:19" s="3942" customFormat="1">
      <c r="B54" s="3942" t="s">
        <v>659</v>
      </c>
      <c r="E54" s="4021">
        <f t="shared" ref="E54:K54" si="62">SUM(E55:E58)</f>
        <v>259117077.80000001</v>
      </c>
      <c r="F54" s="4021">
        <f t="shared" si="62"/>
        <v>-232856</v>
      </c>
      <c r="G54" s="4021">
        <f>SUM(G55:G58)</f>
        <v>258884221.80000001</v>
      </c>
      <c r="H54" s="4021">
        <f t="shared" si="62"/>
        <v>39753611.682172149</v>
      </c>
      <c r="I54" s="4022">
        <f t="shared" si="62"/>
        <v>298637833.48217219</v>
      </c>
      <c r="J54" s="4021">
        <f t="shared" si="62"/>
        <v>-514938</v>
      </c>
      <c r="K54" s="4022">
        <f t="shared" si="62"/>
        <v>298122895.48217219</v>
      </c>
      <c r="M54" s="4023">
        <f t="shared" ref="M54:M73" si="63">(I54-E54)/E54</f>
        <v>0.15252084508561936</v>
      </c>
      <c r="N54" s="4023">
        <f t="shared" ref="N54:N73" si="64">(K54-E54)/E54</f>
        <v>0.15053356580487098</v>
      </c>
      <c r="O54" s="4021"/>
      <c r="P54" s="4023">
        <f t="shared" ref="P54:P73" si="65">(I54-G54)/G54</f>
        <v>0.15355749147541203</v>
      </c>
      <c r="Q54" s="4337">
        <f t="shared" ref="Q54:Q73" si="66">(K54-G54)/G54</f>
        <v>0.15156842471645823</v>
      </c>
    </row>
    <row r="55" spans="1:19">
      <c r="B55" s="3924" t="s">
        <v>647</v>
      </c>
      <c r="E55" s="4024">
        <f>'2013-15 PFF Budget Ops Impact'!C18</f>
        <v>233843355.80000001</v>
      </c>
      <c r="F55" s="4024">
        <v>0</v>
      </c>
      <c r="G55" s="4024">
        <f>E55+F55</f>
        <v>233843355.80000001</v>
      </c>
      <c r="H55" s="4024">
        <f>I55-G55</f>
        <v>10948892.378120005</v>
      </c>
      <c r="I55" s="4025">
        <f>'2013-15 PFF Budget Ops Impact'!G18</f>
        <v>244792248.17812002</v>
      </c>
      <c r="J55" s="4024">
        <f t="shared" ref="J55:J58" si="67">K55-I55</f>
        <v>0</v>
      </c>
      <c r="K55" s="4025">
        <f>'2013-15 PFF Budget Ops Impact'!P18</f>
        <v>244792248.17812002</v>
      </c>
      <c r="M55" s="4026">
        <f t="shared" si="63"/>
        <v>4.6821481588231656E-2</v>
      </c>
      <c r="N55" s="4026">
        <f t="shared" si="64"/>
        <v>4.6821481588231656E-2</v>
      </c>
      <c r="P55" s="4026">
        <f t="shared" si="65"/>
        <v>4.6821481588231656E-2</v>
      </c>
      <c r="Q55" s="4335">
        <f t="shared" si="66"/>
        <v>4.6821481588231656E-2</v>
      </c>
    </row>
    <row r="56" spans="1:19">
      <c r="B56" s="3924" t="s">
        <v>648</v>
      </c>
      <c r="E56" s="4024">
        <f>'Capital Projects and FR'!C13</f>
        <v>25273722</v>
      </c>
      <c r="F56" s="4024">
        <f>G56-E56</f>
        <v>-232856</v>
      </c>
      <c r="G56" s="4024">
        <f>'Capital Projects and FR'!D13</f>
        <v>25040866</v>
      </c>
      <c r="H56" s="4024">
        <f t="shared" ref="H56:H58" si="68">I56-G56</f>
        <v>-3703948</v>
      </c>
      <c r="I56" s="4025">
        <f>'Capital Projects and FR'!E13</f>
        <v>21336918</v>
      </c>
      <c r="J56" s="4024">
        <f t="shared" si="67"/>
        <v>-514938</v>
      </c>
      <c r="K56" s="4025">
        <f>'Capital Projects and FR'!F13</f>
        <v>20821980</v>
      </c>
      <c r="M56" s="4026">
        <f t="shared" si="63"/>
        <v>-0.15576668921182246</v>
      </c>
      <c r="N56" s="4026">
        <f t="shared" si="64"/>
        <v>-0.1761411318839386</v>
      </c>
      <c r="P56" s="4026">
        <f t="shared" si="65"/>
        <v>-0.14791613037664111</v>
      </c>
      <c r="Q56" s="4335">
        <f t="shared" si="66"/>
        <v>-0.16848003579428922</v>
      </c>
    </row>
    <row r="57" spans="1:19">
      <c r="B57" s="3924" t="s">
        <v>936</v>
      </c>
      <c r="E57" s="4024">
        <v>0</v>
      </c>
      <c r="F57" s="4024">
        <v>0</v>
      </c>
      <c r="G57" s="4024">
        <v>0</v>
      </c>
      <c r="H57" s="4024">
        <f t="shared" si="68"/>
        <v>25000000</v>
      </c>
      <c r="I57" s="4025">
        <f>'Capital Projects and FR'!G75/2</f>
        <v>25000000</v>
      </c>
      <c r="J57" s="4024">
        <f t="shared" si="67"/>
        <v>0</v>
      </c>
      <c r="K57" s="4025">
        <f>'Capital Projects and FR'!G75/2</f>
        <v>25000000</v>
      </c>
      <c r="L57" s="4024"/>
      <c r="M57" s="4026" t="e">
        <f t="shared" si="63"/>
        <v>#DIV/0!</v>
      </c>
      <c r="N57" s="4026" t="e">
        <f t="shared" si="64"/>
        <v>#DIV/0!</v>
      </c>
      <c r="P57" s="4026" t="e">
        <f t="shared" si="65"/>
        <v>#DIV/0!</v>
      </c>
      <c r="Q57" s="4335" t="e">
        <f t="shared" si="66"/>
        <v>#DIV/0!</v>
      </c>
      <c r="S57" s="3931"/>
    </row>
    <row r="58" spans="1:19">
      <c r="A58" s="4028"/>
      <c r="B58" s="4028" t="s">
        <v>649</v>
      </c>
      <c r="C58" s="4028"/>
      <c r="D58" s="4028"/>
      <c r="E58" s="4029">
        <v>0</v>
      </c>
      <c r="F58" s="4029">
        <v>0</v>
      </c>
      <c r="G58" s="4029">
        <f t="shared" ref="G58" si="69">E58+F58</f>
        <v>0</v>
      </c>
      <c r="H58" s="4029">
        <f t="shared" si="68"/>
        <v>7508667.3040521462</v>
      </c>
      <c r="I58" s="4030">
        <f>'R&amp;R Funding'!G27</f>
        <v>7508667.3040521462</v>
      </c>
      <c r="J58" s="4029">
        <f t="shared" si="67"/>
        <v>0</v>
      </c>
      <c r="K58" s="4030">
        <f>'R&amp;R Funding'!H27</f>
        <v>7508667.3040521462</v>
      </c>
      <c r="L58" s="4028"/>
      <c r="M58" s="4123" t="e">
        <f t="shared" si="63"/>
        <v>#DIV/0!</v>
      </c>
      <c r="N58" s="4032" t="e">
        <f t="shared" si="64"/>
        <v>#DIV/0!</v>
      </c>
      <c r="P58" s="4123" t="e">
        <f t="shared" si="65"/>
        <v>#DIV/0!</v>
      </c>
      <c r="Q58" s="4338" t="e">
        <f t="shared" si="66"/>
        <v>#DIV/0!</v>
      </c>
    </row>
    <row r="59" spans="1:19" s="3942" customFormat="1">
      <c r="B59" s="3942" t="s">
        <v>660</v>
      </c>
      <c r="E59" s="4021">
        <f t="shared" ref="E59:K59" si="70">SUM(E60:E63)</f>
        <v>28334711.699999999</v>
      </c>
      <c r="F59" s="4021">
        <f t="shared" si="70"/>
        <v>-11003</v>
      </c>
      <c r="G59" s="4021">
        <f t="shared" si="70"/>
        <v>28323708.699999999</v>
      </c>
      <c r="H59" s="4021">
        <f t="shared" si="70"/>
        <v>1645629.4822400538</v>
      </c>
      <c r="I59" s="4022">
        <f t="shared" si="70"/>
        <v>29969338.182240054</v>
      </c>
      <c r="J59" s="4021">
        <f t="shared" si="70"/>
        <v>4402</v>
      </c>
      <c r="K59" s="4022">
        <f t="shared" si="70"/>
        <v>29973740.182240054</v>
      </c>
      <c r="M59" s="4023">
        <f t="shared" si="63"/>
        <v>5.7689892861696374E-2</v>
      </c>
      <c r="N59" s="4023">
        <f t="shared" si="64"/>
        <v>5.7845250009727636E-2</v>
      </c>
      <c r="P59" s="4023">
        <f t="shared" si="65"/>
        <v>5.8100776973463747E-2</v>
      </c>
      <c r="Q59" s="4337">
        <f t="shared" si="66"/>
        <v>5.8256194473573823E-2</v>
      </c>
    </row>
    <row r="60" spans="1:19">
      <c r="B60" s="3924" t="s">
        <v>647</v>
      </c>
      <c r="E60" s="4024">
        <f>'2013-15 PFF Budget Ops Impact'!C19</f>
        <v>26844939.699999999</v>
      </c>
      <c r="F60" s="4024">
        <v>0</v>
      </c>
      <c r="G60" s="4024">
        <f t="shared" ref="G60:G63" si="71">E60+F60</f>
        <v>26844939.699999999</v>
      </c>
      <c r="H60" s="4024">
        <f t="shared" ref="H60:H63" si="72">I60-G60</f>
        <v>998422.54842500016</v>
      </c>
      <c r="I60" s="4025">
        <f>'2013-15 PFF Budget Ops Impact'!G19</f>
        <v>27843362.248424999</v>
      </c>
      <c r="J60" s="4024">
        <f t="shared" ref="J60:J63" si="73">K60-I60</f>
        <v>0</v>
      </c>
      <c r="K60" s="4025">
        <f>'2013-15 PFF Budget Ops Impact'!P19</f>
        <v>27843362.248424999</v>
      </c>
      <c r="M60" s="4026">
        <f t="shared" si="63"/>
        <v>3.7192206783947447E-2</v>
      </c>
      <c r="N60" s="4026">
        <f t="shared" si="64"/>
        <v>3.7192206783947447E-2</v>
      </c>
      <c r="P60" s="4026">
        <f t="shared" si="65"/>
        <v>3.7192206783947447E-2</v>
      </c>
      <c r="Q60" s="4335">
        <f t="shared" si="66"/>
        <v>3.7192206783947447E-2</v>
      </c>
    </row>
    <row r="61" spans="1:19">
      <c r="B61" s="3924" t="s">
        <v>648</v>
      </c>
      <c r="E61" s="4024">
        <f>'Capital Projects and FR'!C14</f>
        <v>1489772</v>
      </c>
      <c r="F61" s="4024">
        <f>G61-E61</f>
        <v>-11003</v>
      </c>
      <c r="G61" s="4024">
        <f>'Capital Projects and FR'!D14</f>
        <v>1478769</v>
      </c>
      <c r="H61" s="4024">
        <f t="shared" si="72"/>
        <v>-4687</v>
      </c>
      <c r="I61" s="4025">
        <f>'Capital Projects and FR'!E14</f>
        <v>1474082</v>
      </c>
      <c r="J61" s="4024">
        <f t="shared" si="73"/>
        <v>4402</v>
      </c>
      <c r="K61" s="4025">
        <f>'Capital Projects and FR'!F14</f>
        <v>1478484</v>
      </c>
      <c r="M61" s="4026">
        <f t="shared" si="63"/>
        <v>-1.0531812921708825E-2</v>
      </c>
      <c r="N61" s="4026">
        <f t="shared" si="64"/>
        <v>-7.576998359480511E-3</v>
      </c>
      <c r="P61" s="4026">
        <f t="shared" si="65"/>
        <v>-3.1695281683616575E-3</v>
      </c>
      <c r="Q61" s="4335">
        <f t="shared" si="66"/>
        <v>-1.9272787027588487E-4</v>
      </c>
    </row>
    <row r="62" spans="1:19">
      <c r="B62" s="3924" t="s">
        <v>936</v>
      </c>
      <c r="E62" s="4024">
        <v>0</v>
      </c>
      <c r="F62" s="4024">
        <v>0</v>
      </c>
      <c r="G62" s="4024">
        <v>0</v>
      </c>
      <c r="H62" s="4024">
        <f t="shared" si="72"/>
        <v>0</v>
      </c>
      <c r="I62" s="4025">
        <v>0</v>
      </c>
      <c r="J62" s="4024">
        <f t="shared" si="73"/>
        <v>0</v>
      </c>
      <c r="K62" s="4025">
        <v>0</v>
      </c>
      <c r="L62" s="4024"/>
      <c r="M62" s="4026" t="e">
        <f t="shared" ref="M62" si="74">(I62-E62)/E62</f>
        <v>#DIV/0!</v>
      </c>
      <c r="N62" s="4026" t="e">
        <f t="shared" ref="N62" si="75">(K62-E62)/E62</f>
        <v>#DIV/0!</v>
      </c>
      <c r="P62" s="4026" t="e">
        <f t="shared" ref="P62" si="76">(I62-G62)/G62</f>
        <v>#DIV/0!</v>
      </c>
      <c r="Q62" s="4335" t="e">
        <f t="shared" ref="Q62" si="77">(K62-G62)/G62</f>
        <v>#DIV/0!</v>
      </c>
      <c r="S62" s="3931"/>
    </row>
    <row r="63" spans="1:19">
      <c r="A63" s="4028"/>
      <c r="B63" s="4028" t="s">
        <v>649</v>
      </c>
      <c r="C63" s="4028"/>
      <c r="D63" s="4028"/>
      <c r="E63" s="4029">
        <v>0</v>
      </c>
      <c r="F63" s="4029">
        <v>0</v>
      </c>
      <c r="G63" s="4029">
        <f t="shared" si="71"/>
        <v>0</v>
      </c>
      <c r="H63" s="4029">
        <f t="shared" si="72"/>
        <v>651893.93381505355</v>
      </c>
      <c r="I63" s="4030">
        <f>'R&amp;R Funding'!G24</f>
        <v>651893.93381505355</v>
      </c>
      <c r="J63" s="4029">
        <f t="shared" si="73"/>
        <v>0</v>
      </c>
      <c r="K63" s="4030">
        <f>'R&amp;R Funding'!H24</f>
        <v>651893.93381505355</v>
      </c>
      <c r="L63" s="4028"/>
      <c r="M63" s="4123" t="e">
        <f t="shared" si="63"/>
        <v>#DIV/0!</v>
      </c>
      <c r="N63" s="4032" t="e">
        <f t="shared" si="64"/>
        <v>#DIV/0!</v>
      </c>
      <c r="P63" s="4123" t="e">
        <f t="shared" si="65"/>
        <v>#DIV/0!</v>
      </c>
      <c r="Q63" s="4338" t="e">
        <f t="shared" si="66"/>
        <v>#DIV/0!</v>
      </c>
    </row>
    <row r="64" spans="1:19" s="3942" customFormat="1">
      <c r="B64" s="3942" t="s">
        <v>661</v>
      </c>
      <c r="E64" s="4021">
        <f t="shared" ref="E64:K64" si="78">SUM(E65:E68)</f>
        <v>13073588</v>
      </c>
      <c r="F64" s="4021">
        <f t="shared" si="78"/>
        <v>0</v>
      </c>
      <c r="G64" s="4021">
        <f t="shared" si="78"/>
        <v>13073588</v>
      </c>
      <c r="H64" s="4021">
        <f t="shared" si="78"/>
        <v>2642525.0568399872</v>
      </c>
      <c r="I64" s="4022">
        <f t="shared" si="78"/>
        <v>15716113.056839986</v>
      </c>
      <c r="J64" s="4021">
        <f t="shared" si="78"/>
        <v>0</v>
      </c>
      <c r="K64" s="4022">
        <f t="shared" si="78"/>
        <v>15716113.056839986</v>
      </c>
      <c r="M64" s="4023">
        <f t="shared" si="63"/>
        <v>0.20212699504068704</v>
      </c>
      <c r="N64" s="4023">
        <f t="shared" si="64"/>
        <v>0.20212699504068704</v>
      </c>
      <c r="P64" s="4023">
        <f t="shared" si="65"/>
        <v>0.20212699504068704</v>
      </c>
      <c r="Q64" s="4337">
        <f t="shared" si="66"/>
        <v>0.20212699504068704</v>
      </c>
    </row>
    <row r="65" spans="1:19">
      <c r="B65" s="3924" t="s">
        <v>647</v>
      </c>
      <c r="E65" s="4024">
        <f>'2013-15 PFF Budget Ops Impact'!C21</f>
        <v>13073588</v>
      </c>
      <c r="F65" s="4024">
        <v>0</v>
      </c>
      <c r="G65" s="4024">
        <f t="shared" ref="G65:G68" si="79">E65+F65</f>
        <v>13073588</v>
      </c>
      <c r="H65" s="4024">
        <f t="shared" ref="H65:H68" si="80">I65-G65</f>
        <v>380400.6706666667</v>
      </c>
      <c r="I65" s="4025">
        <f>'2013-15 PFF Budget Ops Impact'!G21</f>
        <v>13453988.670666667</v>
      </c>
      <c r="J65" s="4024">
        <f t="shared" ref="J65:J68" si="81">K65-I65</f>
        <v>0</v>
      </c>
      <c r="K65" s="4025">
        <f>'2013-15 PFF Budget Ops Impact'!P21</f>
        <v>13453988.670666667</v>
      </c>
      <c r="M65" s="4026">
        <f t="shared" si="63"/>
        <v>2.9096883783293975E-2</v>
      </c>
      <c r="N65" s="4026">
        <f t="shared" si="64"/>
        <v>2.9096883783293975E-2</v>
      </c>
      <c r="P65" s="4026">
        <f t="shared" si="65"/>
        <v>2.9096883783293975E-2</v>
      </c>
      <c r="Q65" s="4335">
        <f t="shared" si="66"/>
        <v>2.9096883783293975E-2</v>
      </c>
    </row>
    <row r="66" spans="1:19">
      <c r="B66" s="3924" t="s">
        <v>648</v>
      </c>
      <c r="E66" s="4024">
        <f>'Capital Projects and FR'!C15</f>
        <v>0</v>
      </c>
      <c r="F66" s="4024">
        <f>G66-E66</f>
        <v>0</v>
      </c>
      <c r="G66" s="4024">
        <f>'Capital Projects and FR'!D15</f>
        <v>0</v>
      </c>
      <c r="H66" s="4024">
        <f t="shared" si="80"/>
        <v>2024536.922092854</v>
      </c>
      <c r="I66" s="4025">
        <f>'Capital Projects and FR'!E15</f>
        <v>2024536.922092854</v>
      </c>
      <c r="J66" s="4024">
        <f t="shared" si="81"/>
        <v>0</v>
      </c>
      <c r="K66" s="4025">
        <f>'Capital Projects and FR'!F15</f>
        <v>2024536.922092854</v>
      </c>
      <c r="M66" s="4026" t="e">
        <f t="shared" si="63"/>
        <v>#DIV/0!</v>
      </c>
      <c r="N66" s="4026" t="e">
        <f t="shared" si="64"/>
        <v>#DIV/0!</v>
      </c>
      <c r="P66" s="4026" t="e">
        <f t="shared" si="65"/>
        <v>#DIV/0!</v>
      </c>
      <c r="Q66" s="4335" t="e">
        <f t="shared" si="66"/>
        <v>#DIV/0!</v>
      </c>
    </row>
    <row r="67" spans="1:19">
      <c r="B67" s="3924" t="s">
        <v>936</v>
      </c>
      <c r="E67" s="4024">
        <v>0</v>
      </c>
      <c r="F67" s="4024">
        <v>0</v>
      </c>
      <c r="G67" s="4024">
        <v>0</v>
      </c>
      <c r="H67" s="4024">
        <f t="shared" si="80"/>
        <v>0</v>
      </c>
      <c r="I67" s="4025">
        <v>0</v>
      </c>
      <c r="J67" s="4024">
        <f t="shared" si="81"/>
        <v>0</v>
      </c>
      <c r="K67" s="4025">
        <v>0</v>
      </c>
      <c r="L67" s="4024"/>
      <c r="M67" s="4026" t="e">
        <f t="shared" si="63"/>
        <v>#DIV/0!</v>
      </c>
      <c r="N67" s="4026" t="e">
        <f t="shared" si="64"/>
        <v>#DIV/0!</v>
      </c>
      <c r="P67" s="4026" t="e">
        <f t="shared" si="65"/>
        <v>#DIV/0!</v>
      </c>
      <c r="Q67" s="4335" t="e">
        <f t="shared" si="66"/>
        <v>#DIV/0!</v>
      </c>
      <c r="S67" s="3931"/>
    </row>
    <row r="68" spans="1:19">
      <c r="A68" s="4028"/>
      <c r="B68" s="4028" t="s">
        <v>649</v>
      </c>
      <c r="C68" s="4028"/>
      <c r="D68" s="4028"/>
      <c r="E68" s="4029">
        <v>0</v>
      </c>
      <c r="F68" s="4029">
        <v>0</v>
      </c>
      <c r="G68" s="4029">
        <f t="shared" si="79"/>
        <v>0</v>
      </c>
      <c r="H68" s="4029">
        <f t="shared" si="80"/>
        <v>237587.46408046634</v>
      </c>
      <c r="I68" s="4030">
        <f>'R&amp;R Funding'!G26</f>
        <v>237587.46408046634</v>
      </c>
      <c r="J68" s="4029">
        <f t="shared" si="81"/>
        <v>0</v>
      </c>
      <c r="K68" s="4030">
        <f>'R&amp;R Funding'!H26</f>
        <v>237587.46408046634</v>
      </c>
      <c r="L68" s="4028"/>
      <c r="M68" s="4123" t="e">
        <f t="shared" si="63"/>
        <v>#DIV/0!</v>
      </c>
      <c r="N68" s="4032" t="e">
        <f t="shared" si="64"/>
        <v>#DIV/0!</v>
      </c>
      <c r="P68" s="4123" t="e">
        <f t="shared" si="65"/>
        <v>#DIV/0!</v>
      </c>
      <c r="Q68" s="4338" t="e">
        <f t="shared" si="66"/>
        <v>#DIV/0!</v>
      </c>
    </row>
    <row r="69" spans="1:19" s="3942" customFormat="1">
      <c r="B69" s="3942" t="s">
        <v>272</v>
      </c>
      <c r="E69" s="4021">
        <f t="shared" ref="E69:K69" si="82">SUM(E70:E73)</f>
        <v>43983086.799999997</v>
      </c>
      <c r="F69" s="4021">
        <f t="shared" si="82"/>
        <v>-40241</v>
      </c>
      <c r="G69" s="4021">
        <f t="shared" si="82"/>
        <v>43942845.799999997</v>
      </c>
      <c r="H69" s="4021">
        <f t="shared" si="82"/>
        <v>11928348.898480507</v>
      </c>
      <c r="I69" s="4022">
        <f t="shared" si="82"/>
        <v>55871194.698480502</v>
      </c>
      <c r="J69" s="4021">
        <f t="shared" si="82"/>
        <v>1820</v>
      </c>
      <c r="K69" s="4022">
        <f t="shared" si="82"/>
        <v>55873014.698480502</v>
      </c>
      <c r="M69" s="4023">
        <f t="shared" si="63"/>
        <v>0.27028816673413897</v>
      </c>
      <c r="N69" s="4023">
        <f t="shared" si="64"/>
        <v>0.27032954627642247</v>
      </c>
      <c r="P69" s="4023">
        <f t="shared" si="65"/>
        <v>0.27145144292135276</v>
      </c>
      <c r="Q69" s="4337">
        <f t="shared" si="66"/>
        <v>0.27149286035727127</v>
      </c>
    </row>
    <row r="70" spans="1:19">
      <c r="B70" s="3924" t="s">
        <v>647</v>
      </c>
      <c r="E70" s="4024">
        <f>'2013-15 PFF Budget Ops Impact'!C20</f>
        <v>38563049.799999997</v>
      </c>
      <c r="F70" s="4024">
        <v>0</v>
      </c>
      <c r="G70" s="4024">
        <f t="shared" ref="G70:G73" si="83">E70+F70</f>
        <v>38563049.799999997</v>
      </c>
      <c r="H70" s="4024">
        <f t="shared" ref="H70:H73" si="84">I70-G70</f>
        <v>455916.3777333349</v>
      </c>
      <c r="I70" s="4025">
        <f>'2013-15 PFF Budget Ops Impact'!G20</f>
        <v>39018966.177733332</v>
      </c>
      <c r="J70" s="4024">
        <f t="shared" ref="J70:J73" si="85">K70-I70</f>
        <v>0</v>
      </c>
      <c r="K70" s="4025">
        <f>'2013-15 PFF Budget Ops Impact'!P20</f>
        <v>39018966.177733332</v>
      </c>
      <c r="M70" s="4026">
        <f t="shared" si="63"/>
        <v>1.182262243515125E-2</v>
      </c>
      <c r="N70" s="4026">
        <f t="shared" si="64"/>
        <v>1.182262243515125E-2</v>
      </c>
      <c r="P70" s="4026">
        <f t="shared" si="65"/>
        <v>1.182262243515125E-2</v>
      </c>
      <c r="Q70" s="4335">
        <f t="shared" si="66"/>
        <v>1.182262243515125E-2</v>
      </c>
    </row>
    <row r="71" spans="1:19">
      <c r="B71" s="3924" t="s">
        <v>648</v>
      </c>
      <c r="E71" s="4024">
        <f>'Capital Projects and FR'!C16</f>
        <v>5420037</v>
      </c>
      <c r="F71" s="4024">
        <f>G71-E71</f>
        <v>-40241</v>
      </c>
      <c r="G71" s="4024">
        <f>'Capital Projects and FR'!D16</f>
        <v>5379796</v>
      </c>
      <c r="H71" s="4024">
        <f t="shared" si="84"/>
        <v>-69393</v>
      </c>
      <c r="I71" s="4025">
        <f>'Capital Projects and FR'!E16</f>
        <v>5310403</v>
      </c>
      <c r="J71" s="4024">
        <f t="shared" si="85"/>
        <v>1820</v>
      </c>
      <c r="K71" s="4025">
        <f>'Capital Projects and FR'!F16</f>
        <v>5312223</v>
      </c>
      <c r="M71" s="4026">
        <f t="shared" si="63"/>
        <v>-2.0227537192089279E-2</v>
      </c>
      <c r="N71" s="4026">
        <f t="shared" si="64"/>
        <v>-1.9891746126456333E-2</v>
      </c>
      <c r="P71" s="4026">
        <f t="shared" si="65"/>
        <v>-1.2898816237641724E-2</v>
      </c>
      <c r="Q71" s="4335">
        <f t="shared" si="66"/>
        <v>-1.2560513446978287E-2</v>
      </c>
      <c r="S71" s="4024"/>
    </row>
    <row r="72" spans="1:19">
      <c r="B72" s="3924" t="s">
        <v>936</v>
      </c>
      <c r="E72" s="4024">
        <v>0</v>
      </c>
      <c r="F72" s="4024">
        <v>0</v>
      </c>
      <c r="G72" s="4024">
        <v>0</v>
      </c>
      <c r="H72" s="4024">
        <f t="shared" si="84"/>
        <v>10675000</v>
      </c>
      <c r="I72" s="4025">
        <f>'Capital Projects and FR'!G48/2</f>
        <v>10675000</v>
      </c>
      <c r="J72" s="4024">
        <f t="shared" si="85"/>
        <v>0</v>
      </c>
      <c r="K72" s="4025">
        <f>'Capital Projects and FR'!G48/2</f>
        <v>10675000</v>
      </c>
      <c r="L72" s="4024"/>
      <c r="M72" s="4026" t="e">
        <f t="shared" si="63"/>
        <v>#DIV/0!</v>
      </c>
      <c r="N72" s="4026" t="e">
        <f t="shared" si="64"/>
        <v>#DIV/0!</v>
      </c>
      <c r="P72" s="4026" t="e">
        <f t="shared" si="65"/>
        <v>#DIV/0!</v>
      </c>
      <c r="Q72" s="4335" t="e">
        <f t="shared" si="66"/>
        <v>#DIV/0!</v>
      </c>
      <c r="S72" s="3931"/>
    </row>
    <row r="73" spans="1:19">
      <c r="A73" s="4028"/>
      <c r="B73" s="4028" t="s">
        <v>649</v>
      </c>
      <c r="C73" s="4028"/>
      <c r="D73" s="4028"/>
      <c r="E73" s="4029">
        <v>0</v>
      </c>
      <c r="F73" s="4029">
        <v>0</v>
      </c>
      <c r="G73" s="4029">
        <f t="shared" si="83"/>
        <v>0</v>
      </c>
      <c r="H73" s="4029">
        <f t="shared" si="84"/>
        <v>866825.52074717102</v>
      </c>
      <c r="I73" s="4030">
        <f>'R&amp;R Funding'!G25</f>
        <v>866825.52074717102</v>
      </c>
      <c r="J73" s="4029">
        <f t="shared" si="85"/>
        <v>0</v>
      </c>
      <c r="K73" s="4030">
        <f>'R&amp;R Funding'!H25</f>
        <v>866825.52074717102</v>
      </c>
      <c r="L73" s="4028"/>
      <c r="M73" s="4123" t="e">
        <f t="shared" si="63"/>
        <v>#DIV/0!</v>
      </c>
      <c r="N73" s="4032" t="e">
        <f t="shared" si="64"/>
        <v>#DIV/0!</v>
      </c>
      <c r="P73" s="4123" t="e">
        <f t="shared" si="65"/>
        <v>#DIV/0!</v>
      </c>
      <c r="Q73" s="4338" t="e">
        <f t="shared" si="66"/>
        <v>#DIV/0!</v>
      </c>
      <c r="S73" s="4024"/>
    </row>
    <row r="74" spans="1:19">
      <c r="I74" s="4020"/>
      <c r="K74" s="4020"/>
      <c r="S74" s="4033"/>
    </row>
    <row r="75" spans="1:19" s="3942" customFormat="1">
      <c r="B75" s="3942" t="s">
        <v>655</v>
      </c>
      <c r="E75" s="4021">
        <f>SUM('Line Item Funding'!E23:E33)</f>
        <v>26803717</v>
      </c>
      <c r="F75" s="4021">
        <f>SUM('Line Item Funding'!F23:F33)</f>
        <v>0</v>
      </c>
      <c r="G75" s="4021">
        <f>E75+F75</f>
        <v>26803717</v>
      </c>
      <c r="H75" s="4021">
        <f t="shared" ref="H75" si="86">I75-G75</f>
        <v>8018857.8550000042</v>
      </c>
      <c r="I75" s="4022">
        <f>SUM('Line Item Funding'!H23:H33)</f>
        <v>34822574.855000004</v>
      </c>
      <c r="J75" s="4021">
        <f t="shared" ref="J75" si="87">K75-I75</f>
        <v>-879260.29000000656</v>
      </c>
      <c r="K75" s="4022">
        <f>SUM('Line Item Funding'!I23:I33)</f>
        <v>33943314.564999998</v>
      </c>
      <c r="M75" s="4023">
        <f>(I75-E75)/E75</f>
        <v>0.29916962095219868</v>
      </c>
      <c r="N75" s="4023">
        <f>(K75-E75)/E75</f>
        <v>0.2663659508492795</v>
      </c>
      <c r="O75" s="4041"/>
      <c r="P75" s="4023">
        <f>(I75-G75)/G75</f>
        <v>0.29916962095219868</v>
      </c>
      <c r="Q75" s="4337">
        <f>(K75-G75)/G75</f>
        <v>0.2663659508492795</v>
      </c>
    </row>
    <row r="76" spans="1:19" s="3942" customFormat="1">
      <c r="E76" s="4021"/>
      <c r="F76" s="4021"/>
      <c r="G76" s="4021"/>
      <c r="H76" s="4021"/>
      <c r="I76" s="4022"/>
      <c r="J76" s="4021"/>
      <c r="K76" s="4022"/>
      <c r="M76" s="4023"/>
      <c r="N76" s="4023"/>
      <c r="O76" s="4041"/>
      <c r="P76" s="4023"/>
      <c r="Q76" s="4337"/>
    </row>
    <row r="77" spans="1:19">
      <c r="A77" s="3924" t="s">
        <v>662</v>
      </c>
      <c r="E77" s="4034">
        <f>'2013-15 PFF Budget Ops Impact'!C22</f>
        <v>312324933.30000001</v>
      </c>
      <c r="F77" s="4034">
        <f>'[7]Institution Summary - Version A'!F25</f>
        <v>0</v>
      </c>
      <c r="G77" s="4034">
        <f>E77+F77</f>
        <v>312324933.30000001</v>
      </c>
      <c r="H77" s="4034">
        <f t="shared" ref="H77:H78" si="88">I77-G77</f>
        <v>12783631.974945009</v>
      </c>
      <c r="I77" s="4042">
        <f>'2013-15 PFF Budget Ops Impact'!G22</f>
        <v>325108565.27494502</v>
      </c>
      <c r="J77" s="4034">
        <f t="shared" ref="J77:J78" si="89">K77-I77</f>
        <v>0</v>
      </c>
      <c r="K77" s="4042">
        <f>'2013-15 PFF Budget Ops Impact'!P22</f>
        <v>325108565.27494502</v>
      </c>
      <c r="M77" s="4026">
        <f>(I77-E77)/E77</f>
        <v>4.0930552165253625E-2</v>
      </c>
      <c r="N77" s="4026">
        <f>(K77-E77)/E77</f>
        <v>4.0930552165253625E-2</v>
      </c>
      <c r="P77" s="4026">
        <f>(I77-G77)/G77</f>
        <v>4.0930552165253625E-2</v>
      </c>
      <c r="Q77" s="4335">
        <f>(K77-G77)/G77</f>
        <v>4.0930552165253625E-2</v>
      </c>
    </row>
    <row r="78" spans="1:19">
      <c r="A78" s="3942" t="s">
        <v>663</v>
      </c>
      <c r="E78" s="4021">
        <f>E54+E59+E64+E69+E75</f>
        <v>371312181.30000001</v>
      </c>
      <c r="F78" s="4021">
        <f t="shared" ref="F78:K78" si="90">F54+F59+F64+F69+F75</f>
        <v>-284100</v>
      </c>
      <c r="G78" s="4021">
        <f>E78+F78</f>
        <v>371028081.30000001</v>
      </c>
      <c r="H78" s="4021">
        <f t="shared" si="88"/>
        <v>63988972.974732757</v>
      </c>
      <c r="I78" s="4022">
        <f t="shared" si="90"/>
        <v>435017054.27473277</v>
      </c>
      <c r="J78" s="4021">
        <f t="shared" si="89"/>
        <v>-1387976.2900000215</v>
      </c>
      <c r="K78" s="4022">
        <f t="shared" si="90"/>
        <v>433629077.98473275</v>
      </c>
      <c r="M78" s="4023">
        <f>(I78-E78)/E78</f>
        <v>0.17156688140878062</v>
      </c>
      <c r="N78" s="4023">
        <f>(K78-E78)/E78</f>
        <v>0.1678288508245413</v>
      </c>
      <c r="P78" s="4023">
        <f>(I78-G78)/G78</f>
        <v>0.17246396216299748</v>
      </c>
      <c r="Q78" s="4337">
        <f>(K78-G78)/G78</f>
        <v>0.16872306933047423</v>
      </c>
      <c r="S78" s="4024"/>
    </row>
    <row r="79" spans="1:19">
      <c r="A79" s="4038"/>
      <c r="B79" s="4038"/>
      <c r="C79" s="4038"/>
      <c r="D79" s="4038"/>
      <c r="E79" s="4038"/>
      <c r="F79" s="4038"/>
      <c r="G79" s="4038"/>
      <c r="H79" s="4038"/>
      <c r="I79" s="4039"/>
      <c r="J79" s="4038"/>
      <c r="K79" s="4039"/>
      <c r="L79" s="4038"/>
      <c r="M79" s="4040"/>
      <c r="N79" s="4040"/>
      <c r="P79" s="4040"/>
      <c r="Q79" s="4339"/>
    </row>
    <row r="80" spans="1:19">
      <c r="A80" s="4148" t="s">
        <v>664</v>
      </c>
      <c r="B80" s="3932"/>
      <c r="C80" s="3932"/>
      <c r="I80" s="4020"/>
      <c r="K80" s="4020"/>
    </row>
    <row r="81" spans="1:19" s="3942" customFormat="1">
      <c r="E81" s="4021">
        <f t="shared" ref="E81:K81" si="91">SUM(E82:E85)</f>
        <v>76557354</v>
      </c>
      <c r="F81" s="4021">
        <f t="shared" si="91"/>
        <v>-753431</v>
      </c>
      <c r="G81" s="4021">
        <f t="shared" si="91"/>
        <v>75803923</v>
      </c>
      <c r="H81" s="4021">
        <f t="shared" si="91"/>
        <v>9398472.5405480117</v>
      </c>
      <c r="I81" s="4022">
        <f t="shared" si="91"/>
        <v>85202395.540548012</v>
      </c>
      <c r="J81" s="4021">
        <f t="shared" si="91"/>
        <v>2261</v>
      </c>
      <c r="K81" s="4022">
        <f t="shared" si="91"/>
        <v>85204656.540548012</v>
      </c>
      <c r="M81" s="4023">
        <f>(I81-E81)/E81</f>
        <v>0.1129224181461132</v>
      </c>
      <c r="N81" s="4023">
        <f>(K81-E81)/E81</f>
        <v>0.11295195155971575</v>
      </c>
      <c r="P81" s="4023">
        <f>(I81-G81)/G81</f>
        <v>0.12398398616583486</v>
      </c>
      <c r="Q81" s="4337">
        <f>(K81-G81)/G81</f>
        <v>0.12401381311819458</v>
      </c>
    </row>
    <row r="82" spans="1:19">
      <c r="B82" s="3924" t="s">
        <v>647</v>
      </c>
      <c r="E82" s="4024">
        <f>'2013-15 PFF Budget Ops Impact'!C24</f>
        <v>67650483</v>
      </c>
      <c r="F82" s="4024">
        <v>0</v>
      </c>
      <c r="G82" s="4070">
        <f>E82+F82</f>
        <v>67650483</v>
      </c>
      <c r="H82" s="4024">
        <f t="shared" ref="H82:H85" si="92">I82-G82</f>
        <v>-342252.06921666861</v>
      </c>
      <c r="I82" s="4025">
        <f>'2013-15 PFF Budget Ops Impact'!G24</f>
        <v>67308230.930783331</v>
      </c>
      <c r="J82" s="4024">
        <f t="shared" ref="J82:J85" si="93">K82-I82</f>
        <v>0</v>
      </c>
      <c r="K82" s="4025">
        <f>'2013-15 PFF Budget Ops Impact'!P24</f>
        <v>67308230.930783331</v>
      </c>
      <c r="M82" s="4026">
        <f>(I82-E82)/E82</f>
        <v>-5.0591223305333768E-3</v>
      </c>
      <c r="N82" s="4026">
        <f>(K82-E82)/E82</f>
        <v>-5.0591223305333768E-3</v>
      </c>
      <c r="P82" s="4026">
        <f>(I82-G82)/G82</f>
        <v>-5.0591223305333768E-3</v>
      </c>
      <c r="Q82" s="4335">
        <f>(K82-G82)/G82</f>
        <v>-5.0591223305333768E-3</v>
      </c>
    </row>
    <row r="83" spans="1:19">
      <c r="B83" s="3924" t="s">
        <v>648</v>
      </c>
      <c r="E83" s="4024">
        <f>'Capital Projects and FR'!C17</f>
        <v>8906871</v>
      </c>
      <c r="F83" s="4024">
        <f>G83-E83</f>
        <v>-753431</v>
      </c>
      <c r="G83" s="4070">
        <f>'Capital Projects and FR'!D17</f>
        <v>8153440</v>
      </c>
      <c r="H83" s="4024">
        <f t="shared" si="92"/>
        <v>377839.74470117502</v>
      </c>
      <c r="I83" s="4025">
        <f>'Capital Projects and FR'!E17</f>
        <v>8531279.744701175</v>
      </c>
      <c r="J83" s="4024">
        <f t="shared" si="93"/>
        <v>2261</v>
      </c>
      <c r="K83" s="4025">
        <f>'Capital Projects and FR'!F17</f>
        <v>8533540.744701175</v>
      </c>
      <c r="M83" s="4026">
        <f>(I83-E83)/E83</f>
        <v>-4.2168709449011327E-2</v>
      </c>
      <c r="N83" s="4026">
        <f>(K83-E83)/E83</f>
        <v>-4.191486048229788E-2</v>
      </c>
      <c r="P83" s="4026">
        <f>(I83-G83)/G83</f>
        <v>4.6341144927929193E-2</v>
      </c>
      <c r="Q83" s="4335">
        <f>(K83-G83)/G83</f>
        <v>4.6618451193750736E-2</v>
      </c>
    </row>
    <row r="84" spans="1:19">
      <c r="B84" s="3924" t="s">
        <v>936</v>
      </c>
      <c r="E84" s="4024">
        <v>0</v>
      </c>
      <c r="F84" s="4024">
        <v>0</v>
      </c>
      <c r="G84" s="4024">
        <v>0</v>
      </c>
      <c r="H84" s="4024">
        <f t="shared" si="92"/>
        <v>8000000</v>
      </c>
      <c r="I84" s="4025">
        <f>'Capital Projects and FR'!G50/2</f>
        <v>8000000</v>
      </c>
      <c r="J84" s="4024">
        <f t="shared" si="93"/>
        <v>0</v>
      </c>
      <c r="K84" s="4025">
        <f>'Capital Projects and FR'!G50/2</f>
        <v>8000000</v>
      </c>
      <c r="L84" s="4024"/>
      <c r="M84" s="4026" t="e">
        <f t="shared" ref="M84" si="94">(I84-E84)/E84</f>
        <v>#DIV/0!</v>
      </c>
      <c r="N84" s="4026" t="e">
        <f t="shared" ref="N84" si="95">(K84-E84)/E84</f>
        <v>#DIV/0!</v>
      </c>
      <c r="P84" s="4026" t="e">
        <f t="shared" ref="P84" si="96">(I84-G84)/G84</f>
        <v>#DIV/0!</v>
      </c>
      <c r="Q84" s="4335" t="e">
        <f t="shared" ref="Q84" si="97">(K84-G84)/G84</f>
        <v>#DIV/0!</v>
      </c>
      <c r="S84" s="3931"/>
    </row>
    <row r="85" spans="1:19">
      <c r="A85" s="4028"/>
      <c r="B85" s="4028" t="s">
        <v>649</v>
      </c>
      <c r="C85" s="4028"/>
      <c r="D85" s="4028"/>
      <c r="E85" s="4029">
        <v>0</v>
      </c>
      <c r="F85" s="4029">
        <v>0</v>
      </c>
      <c r="G85" s="4029">
        <f t="shared" ref="G85" si="98">E85+F85</f>
        <v>0</v>
      </c>
      <c r="H85" s="4029">
        <f t="shared" si="92"/>
        <v>1362884.8650635057</v>
      </c>
      <c r="I85" s="4030">
        <f>'R&amp;R Funding'!G9</f>
        <v>1362884.8650635057</v>
      </c>
      <c r="J85" s="4029">
        <f t="shared" si="93"/>
        <v>0</v>
      </c>
      <c r="K85" s="4030">
        <f>'R&amp;R Funding'!H9</f>
        <v>1362884.8650635057</v>
      </c>
      <c r="L85" s="4028"/>
      <c r="M85" s="4031" t="e">
        <f>(I85-E85)/E85</f>
        <v>#DIV/0!</v>
      </c>
      <c r="N85" s="4032" t="e">
        <f>(K85-E85)/E85</f>
        <v>#DIV/0!</v>
      </c>
      <c r="P85" s="4031" t="e">
        <f>(I85-G85)/G85</f>
        <v>#DIV/0!</v>
      </c>
      <c r="Q85" s="4338" t="e">
        <f>(K85-G85)/G85</f>
        <v>#DIV/0!</v>
      </c>
    </row>
    <row r="86" spans="1:19">
      <c r="I86" s="4020"/>
      <c r="K86" s="4020"/>
    </row>
    <row r="87" spans="1:19" s="3942" customFormat="1">
      <c r="B87" s="3942" t="s">
        <v>655</v>
      </c>
      <c r="E87" s="4021">
        <f>'Line Item Funding'!E42+'Line Item Funding'!E44+'Line Item Funding'!E43</f>
        <v>204000</v>
      </c>
      <c r="F87" s="4021">
        <f>'Line Item Funding'!F42+'Line Item Funding'!F44+'Line Item Funding'!F43</f>
        <v>0</v>
      </c>
      <c r="G87" s="4021">
        <f>'Line Item Funding'!G42+'Line Item Funding'!G44+'Line Item Funding'!G43</f>
        <v>204000</v>
      </c>
      <c r="H87" s="4021">
        <f>I87-G87</f>
        <v>683200</v>
      </c>
      <c r="I87" s="4022">
        <f>'Line Item Funding'!H42+'Line Item Funding'!H44+'Line Item Funding'!H43</f>
        <v>887200</v>
      </c>
      <c r="J87" s="4021">
        <f>K87-I87</f>
        <v>0</v>
      </c>
      <c r="K87" s="4022">
        <f>'Line Item Funding'!I42+'Line Item Funding'!I44+'Line Item Funding'!I43</f>
        <v>887200</v>
      </c>
      <c r="M87" s="4023">
        <f>(I87-E87)/E87</f>
        <v>3.3490196078431373</v>
      </c>
      <c r="N87" s="4023">
        <f>(K87-E87)/E87</f>
        <v>3.3490196078431373</v>
      </c>
      <c r="P87" s="4023">
        <f>(I87-G87)/G87</f>
        <v>3.3490196078431373</v>
      </c>
      <c r="Q87" s="4337">
        <f>(K87-G87)/G87</f>
        <v>3.3490196078431373</v>
      </c>
    </row>
    <row r="88" spans="1:19">
      <c r="I88" s="4020"/>
      <c r="K88" s="4020"/>
    </row>
    <row r="89" spans="1:19">
      <c r="A89" s="3942" t="s">
        <v>665</v>
      </c>
      <c r="E89" s="4021">
        <f>E81+E87</f>
        <v>76761354</v>
      </c>
      <c r="F89" s="4021">
        <f t="shared" ref="F89:K89" si="99">F81+F87</f>
        <v>-753431</v>
      </c>
      <c r="G89" s="4021">
        <f>E89+F89</f>
        <v>76007923</v>
      </c>
      <c r="H89" s="4021">
        <f>I89-G89</f>
        <v>10081672.540548012</v>
      </c>
      <c r="I89" s="4022">
        <f t="shared" si="99"/>
        <v>86089595.540548012</v>
      </c>
      <c r="J89" s="4021">
        <f>K89-I89</f>
        <v>2261</v>
      </c>
      <c r="K89" s="4022">
        <f t="shared" si="99"/>
        <v>86091856.540548012</v>
      </c>
      <c r="M89" s="4023">
        <f>(I89-E89)/E89</f>
        <v>0.12152262895920272</v>
      </c>
      <c r="N89" s="4023">
        <f>(K89-E89)/E89</f>
        <v>0.12155208388518018</v>
      </c>
      <c r="P89" s="4023">
        <f>(I89-G89)/G89</f>
        <v>0.1326397583650327</v>
      </c>
      <c r="Q89" s="4337">
        <f>(K89-G89)/G89</f>
        <v>0.13266950526391849</v>
      </c>
    </row>
    <row r="90" spans="1:19">
      <c r="A90" s="4038"/>
      <c r="B90" s="4038"/>
      <c r="C90" s="4038"/>
      <c r="D90" s="4038"/>
      <c r="E90" s="4038"/>
      <c r="F90" s="4038"/>
      <c r="G90" s="4038"/>
      <c r="H90" s="4038"/>
      <c r="I90" s="4039"/>
      <c r="J90" s="4038"/>
      <c r="K90" s="4039"/>
      <c r="L90" s="4038"/>
      <c r="M90" s="4040"/>
      <c r="N90" s="4040"/>
      <c r="P90" s="4040"/>
      <c r="Q90" s="4339"/>
    </row>
    <row r="91" spans="1:19">
      <c r="A91" s="4148" t="s">
        <v>666</v>
      </c>
      <c r="B91" s="3932"/>
      <c r="C91" s="3932"/>
      <c r="I91" s="4020"/>
      <c r="K91" s="4020"/>
    </row>
    <row r="92" spans="1:19" s="3942" customFormat="1">
      <c r="E92" s="4021">
        <f t="shared" ref="E92:K92" si="100">SUM(E93:E97)</f>
        <v>52243609</v>
      </c>
      <c r="F92" s="4021">
        <f t="shared" si="100"/>
        <v>0</v>
      </c>
      <c r="G92" s="4021">
        <f t="shared" si="100"/>
        <v>52243609</v>
      </c>
      <c r="H92" s="4021">
        <f t="shared" si="100"/>
        <v>10651788.044299494</v>
      </c>
      <c r="I92" s="4022">
        <f t="shared" si="100"/>
        <v>62895397.044299498</v>
      </c>
      <c r="J92" s="4021">
        <f t="shared" si="100"/>
        <v>-326438</v>
      </c>
      <c r="K92" s="4022">
        <f t="shared" si="100"/>
        <v>62568959.044299498</v>
      </c>
      <c r="M92" s="4023">
        <f>(I92-E92)/E92</f>
        <v>0.20388691072815238</v>
      </c>
      <c r="N92" s="4023">
        <f>(K92-E92)/E92</f>
        <v>0.19763852922755581</v>
      </c>
      <c r="P92" s="4023">
        <f>(I92-G92)/G92</f>
        <v>0.20388691072815238</v>
      </c>
      <c r="Q92" s="4337">
        <f>(K92-G92)/G92</f>
        <v>0.19763852922755581</v>
      </c>
    </row>
    <row r="93" spans="1:19">
      <c r="B93" s="3924" t="s">
        <v>647</v>
      </c>
      <c r="E93" s="4024">
        <f>'2013-15 PFF Budget Ops Impact'!C28</f>
        <v>40109493</v>
      </c>
      <c r="F93" s="4024">
        <v>0</v>
      </c>
      <c r="G93" s="4024">
        <f>E93+F93</f>
        <v>40109493</v>
      </c>
      <c r="H93" s="4024">
        <f>I93-G93</f>
        <v>2037360.9576666653</v>
      </c>
      <c r="I93" s="4025">
        <f>'2013-15 PFF Budget Ops Impact'!G28</f>
        <v>42146853.957666665</v>
      </c>
      <c r="J93" s="4024">
        <f>K93-I93</f>
        <v>0</v>
      </c>
      <c r="K93" s="4025">
        <f>'2013-15 PFF Budget Ops Impact'!P28</f>
        <v>42146853.957666665</v>
      </c>
      <c r="M93" s="4026">
        <f>(I93-E93)/E93</f>
        <v>5.0794981568743972E-2</v>
      </c>
      <c r="N93" s="4026">
        <f>(K93-E93)/E93</f>
        <v>5.0794981568743972E-2</v>
      </c>
      <c r="P93" s="4026">
        <f>(I93-G93)/G93</f>
        <v>5.0794981568743972E-2</v>
      </c>
      <c r="Q93" s="4335">
        <f>(K93-G93)/G93</f>
        <v>5.0794981568743972E-2</v>
      </c>
    </row>
    <row r="94" spans="1:19" hidden="1">
      <c r="B94" s="4191" t="s">
        <v>709</v>
      </c>
      <c r="C94" s="4191"/>
      <c r="D94" s="4191"/>
      <c r="E94" s="4192">
        <v>0</v>
      </c>
      <c r="F94" s="4192">
        <v>0</v>
      </c>
      <c r="G94" s="4192">
        <f>E94+F94</f>
        <v>0</v>
      </c>
      <c r="H94" s="4192">
        <f>I94-G94</f>
        <v>0</v>
      </c>
      <c r="I94" s="4193">
        <f>5000000-5000000</f>
        <v>0</v>
      </c>
      <c r="J94" s="4192">
        <f t="shared" ref="J94:J96" si="101">K94-I94</f>
        <v>0</v>
      </c>
      <c r="K94" s="4193">
        <f>10000000-10000000</f>
        <v>0</v>
      </c>
      <c r="L94" s="4191"/>
      <c r="M94" s="4194" t="e">
        <f t="shared" ref="M94:M97" si="102">(I94-E94)/E94</f>
        <v>#DIV/0!</v>
      </c>
      <c r="N94" s="4194" t="e">
        <f t="shared" ref="N94:N97" si="103">(K94-E94)/E94</f>
        <v>#DIV/0!</v>
      </c>
      <c r="P94" s="4026" t="e">
        <f t="shared" ref="P94:P97" si="104">(I94-G94)/G94</f>
        <v>#DIV/0!</v>
      </c>
      <c r="Q94" s="4335" t="e">
        <f t="shared" ref="Q94:Q97" si="105">(K94-G94)/G94</f>
        <v>#DIV/0!</v>
      </c>
    </row>
    <row r="95" spans="1:19">
      <c r="B95" s="3924" t="s">
        <v>648</v>
      </c>
      <c r="E95" s="4024">
        <f>'Capital Projects and FR'!C18</f>
        <v>12134116</v>
      </c>
      <c r="F95" s="4024">
        <v>0</v>
      </c>
      <c r="G95" s="4024">
        <f>E95+F95</f>
        <v>12134116</v>
      </c>
      <c r="H95" s="4024">
        <f t="shared" ref="H95:H97" si="106">I95-G95</f>
        <v>-1069536</v>
      </c>
      <c r="I95" s="4025">
        <f>'Capital Projects and FR'!E18</f>
        <v>11064580</v>
      </c>
      <c r="J95" s="4024">
        <f t="shared" si="101"/>
        <v>-326438</v>
      </c>
      <c r="K95" s="4025">
        <f>'Capital Projects and FR'!F18</f>
        <v>10738142</v>
      </c>
      <c r="M95" s="4026">
        <f t="shared" si="102"/>
        <v>-8.8142885728140399E-2</v>
      </c>
      <c r="N95" s="4026">
        <f t="shared" si="103"/>
        <v>-0.11504538113860129</v>
      </c>
      <c r="P95" s="4026">
        <f t="shared" si="104"/>
        <v>-8.8142885728140399E-2</v>
      </c>
      <c r="Q95" s="4335">
        <f t="shared" si="105"/>
        <v>-0.11504538113860129</v>
      </c>
    </row>
    <row r="96" spans="1:19">
      <c r="B96" s="3924" t="s">
        <v>936</v>
      </c>
      <c r="E96" s="4024">
        <v>0</v>
      </c>
      <c r="F96" s="4024">
        <v>0</v>
      </c>
      <c r="G96" s="4024">
        <v>0</v>
      </c>
      <c r="H96" s="4024">
        <f t="shared" si="106"/>
        <v>9000000</v>
      </c>
      <c r="I96" s="4025">
        <f>('Capital Projects and FR'!G76)/2</f>
        <v>9000000</v>
      </c>
      <c r="J96" s="4024">
        <f t="shared" si="101"/>
        <v>0</v>
      </c>
      <c r="K96" s="4025">
        <f>('Capital Projects and FR'!G76)/2</f>
        <v>9000000</v>
      </c>
      <c r="L96" s="4024"/>
      <c r="M96" s="4026" t="e">
        <f t="shared" si="102"/>
        <v>#DIV/0!</v>
      </c>
      <c r="N96" s="4026" t="e">
        <f t="shared" si="103"/>
        <v>#DIV/0!</v>
      </c>
      <c r="P96" s="4026" t="e">
        <f t="shared" si="104"/>
        <v>#DIV/0!</v>
      </c>
      <c r="Q96" s="4335" t="e">
        <f t="shared" si="105"/>
        <v>#DIV/0!</v>
      </c>
      <c r="S96" s="3931"/>
    </row>
    <row r="97" spans="1:19">
      <c r="A97" s="4028"/>
      <c r="B97" s="4028" t="s">
        <v>649</v>
      </c>
      <c r="C97" s="4028"/>
      <c r="D97" s="4028"/>
      <c r="E97" s="4029">
        <v>0</v>
      </c>
      <c r="F97" s="4029">
        <v>0</v>
      </c>
      <c r="G97" s="4029">
        <f>E97+F97</f>
        <v>0</v>
      </c>
      <c r="H97" s="4029">
        <f t="shared" si="106"/>
        <v>683963.08663282974</v>
      </c>
      <c r="I97" s="4030">
        <f>'R&amp;R Funding'!G30</f>
        <v>683963.08663282974</v>
      </c>
      <c r="J97" s="4029">
        <f t="shared" ref="J97" si="107">K97-I97</f>
        <v>0</v>
      </c>
      <c r="K97" s="4030">
        <f>'R&amp;R Funding'!H30</f>
        <v>683963.08663282974</v>
      </c>
      <c r="L97" s="4028"/>
      <c r="M97" s="4123" t="e">
        <f t="shared" si="102"/>
        <v>#DIV/0!</v>
      </c>
      <c r="N97" s="4123" t="e">
        <f t="shared" si="103"/>
        <v>#DIV/0!</v>
      </c>
      <c r="P97" s="4123" t="e">
        <f t="shared" si="104"/>
        <v>#DIV/0!</v>
      </c>
      <c r="Q97" s="4338" t="e">
        <f t="shared" si="105"/>
        <v>#DIV/0!</v>
      </c>
    </row>
    <row r="98" spans="1:19">
      <c r="I98" s="4020"/>
      <c r="K98" s="4020"/>
    </row>
    <row r="99" spans="1:19" s="3942" customFormat="1">
      <c r="B99" s="3942" t="s">
        <v>655</v>
      </c>
      <c r="E99" s="4021">
        <f>'Line Item Funding'!E46+'Line Item Funding'!E48+'Line Item Funding'!E47</f>
        <v>470413.8</v>
      </c>
      <c r="F99" s="4021">
        <f>'Line Item Funding'!F46+'Line Item Funding'!F48+'Line Item Funding'!F47</f>
        <v>0</v>
      </c>
      <c r="G99" s="4021">
        <f>'Line Item Funding'!G46+'Line Item Funding'!G48+'Line Item Funding'!G47</f>
        <v>470413.8</v>
      </c>
      <c r="H99" s="4021">
        <f>I99-G99</f>
        <v>2290564.483</v>
      </c>
      <c r="I99" s="4022">
        <f>'Line Item Funding'!H46+'Line Item Funding'!H48+'Line Item Funding'!H47</f>
        <v>2760978.2829999998</v>
      </c>
      <c r="J99" s="4021">
        <f>K99-I99</f>
        <v>0</v>
      </c>
      <c r="K99" s="4022">
        <f>'Line Item Funding'!I46+'Line Item Funding'!I48+'Line Item Funding'!I47</f>
        <v>2760978.2829999998</v>
      </c>
      <c r="M99" s="4023">
        <f>(I99-E99)/E99</f>
        <v>4.8692544372635327</v>
      </c>
      <c r="N99" s="4023">
        <f>(K99-E99)/E99</f>
        <v>4.8692544372635327</v>
      </c>
      <c r="O99" s="4021"/>
      <c r="P99" s="4023">
        <f>(I99-G99)/G99</f>
        <v>4.8692544372635327</v>
      </c>
      <c r="Q99" s="4337">
        <f>(K99-G99)/G99</f>
        <v>4.8692544372635327</v>
      </c>
    </row>
    <row r="100" spans="1:19">
      <c r="I100" s="4020"/>
      <c r="K100" s="4020"/>
    </row>
    <row r="101" spans="1:19">
      <c r="A101" s="3942" t="s">
        <v>667</v>
      </c>
      <c r="E101" s="4021">
        <f>E92+E99</f>
        <v>52714022.799999997</v>
      </c>
      <c r="F101" s="4021">
        <f t="shared" ref="F101:K101" si="108">F92+F99</f>
        <v>0</v>
      </c>
      <c r="G101" s="4021">
        <f t="shared" si="108"/>
        <v>52714022.799999997</v>
      </c>
      <c r="H101" s="4021">
        <f t="shared" si="108"/>
        <v>12942352.527299494</v>
      </c>
      <c r="I101" s="4022">
        <f t="shared" si="108"/>
        <v>65656375.327299498</v>
      </c>
      <c r="J101" s="4021">
        <f t="shared" si="108"/>
        <v>-326438</v>
      </c>
      <c r="K101" s="4022">
        <f t="shared" si="108"/>
        <v>65329937.327299498</v>
      </c>
      <c r="M101" s="4023">
        <f>(I101-E101)/E101</f>
        <v>0.24552010717154946</v>
      </c>
      <c r="N101" s="4023">
        <f>(K101-E101)/E101</f>
        <v>0.23932748549973124</v>
      </c>
      <c r="P101" s="4023">
        <f>(I101-G101)/G101</f>
        <v>0.24552010717154946</v>
      </c>
      <c r="Q101" s="4337">
        <f>(K101-G101)/G101</f>
        <v>0.23932748549973124</v>
      </c>
    </row>
    <row r="102" spans="1:19">
      <c r="A102" s="4038"/>
      <c r="B102" s="4038"/>
      <c r="C102" s="4038"/>
      <c r="D102" s="4038"/>
      <c r="E102" s="4038"/>
      <c r="F102" s="4038"/>
      <c r="G102" s="4038"/>
      <c r="H102" s="4038"/>
      <c r="I102" s="4039"/>
      <c r="J102" s="4038"/>
      <c r="K102" s="4039"/>
      <c r="L102" s="4038"/>
      <c r="M102" s="4040"/>
      <c r="N102" s="4040"/>
      <c r="P102" s="4040"/>
      <c r="Q102" s="4339"/>
    </row>
    <row r="103" spans="1:19">
      <c r="A103" s="4148" t="s">
        <v>668</v>
      </c>
      <c r="B103" s="3932"/>
      <c r="C103" s="3932"/>
      <c r="I103" s="4020"/>
      <c r="K103" s="4020"/>
    </row>
    <row r="104" spans="1:19" s="3942" customFormat="1">
      <c r="E104" s="4021">
        <f t="shared" ref="E104:K104" si="109">SUM(E105:E108)</f>
        <v>133401503</v>
      </c>
      <c r="F104" s="4021">
        <f t="shared" si="109"/>
        <v>-662041</v>
      </c>
      <c r="G104" s="4021">
        <f t="shared" si="109"/>
        <v>132739462</v>
      </c>
      <c r="H104" s="4021">
        <f t="shared" si="109"/>
        <v>18183517.852277398</v>
      </c>
      <c r="I104" s="4022">
        <f t="shared" si="109"/>
        <v>150922979.8522774</v>
      </c>
      <c r="J104" s="4021">
        <f t="shared" si="109"/>
        <v>-766421</v>
      </c>
      <c r="K104" s="4022">
        <f t="shared" si="109"/>
        <v>150156558.8522774</v>
      </c>
      <c r="M104" s="4023">
        <f>(I104-E104)/E104</f>
        <v>0.13134392385577093</v>
      </c>
      <c r="N104" s="4023">
        <f>(K104-E104)/E104</f>
        <v>0.12559870372882828</v>
      </c>
      <c r="P104" s="4023">
        <f>(I104-G104)/G104</f>
        <v>0.13698652667642572</v>
      </c>
      <c r="Q104" s="4337">
        <f>(K104-G104)/G104</f>
        <v>0.13121265213714214</v>
      </c>
    </row>
    <row r="105" spans="1:19">
      <c r="B105" s="3924" t="s">
        <v>647</v>
      </c>
      <c r="E105" s="4024">
        <f>'2013-15 PFF Budget Ops Impact'!C26</f>
        <v>118723016</v>
      </c>
      <c r="F105" s="4024">
        <v>0</v>
      </c>
      <c r="G105" s="4024">
        <f>E105+F105</f>
        <v>118723016</v>
      </c>
      <c r="H105" s="4024">
        <f t="shared" ref="H105:H108" si="110">I105-G105</f>
        <v>-749841.3450833261</v>
      </c>
      <c r="I105" s="4025">
        <f>'2013-15 PFF Budget Ops Impact'!G26</f>
        <v>117973174.65491667</v>
      </c>
      <c r="J105" s="4024">
        <f t="shared" ref="J105:J108" si="111">K105-I105</f>
        <v>0</v>
      </c>
      <c r="K105" s="4025">
        <f>'2013-15 PFF Budget Ops Impact'!P26</f>
        <v>117973174.65491667</v>
      </c>
      <c r="M105" s="4026">
        <f>(I105-E105)/E105</f>
        <v>-6.315888614919672E-3</v>
      </c>
      <c r="N105" s="4026">
        <f>(K105-E105)/E105</f>
        <v>-6.315888614919672E-3</v>
      </c>
      <c r="P105" s="4026">
        <f>(I105-G105)/G105</f>
        <v>-6.315888614919672E-3</v>
      </c>
      <c r="Q105" s="4335">
        <f>(K105-G105)/G105</f>
        <v>-6.315888614919672E-3</v>
      </c>
      <c r="R105" s="4024"/>
    </row>
    <row r="106" spans="1:19">
      <c r="B106" s="3924" t="s">
        <v>648</v>
      </c>
      <c r="E106" s="4024">
        <f>'Capital Projects and FR'!C19</f>
        <v>14678487</v>
      </c>
      <c r="F106" s="4024">
        <f>G106-E106</f>
        <v>-662041</v>
      </c>
      <c r="G106" s="4024">
        <f>'Capital Projects and FR'!D19</f>
        <v>14016446</v>
      </c>
      <c r="H106" s="4024">
        <f t="shared" si="110"/>
        <v>1553981.5319839939</v>
      </c>
      <c r="I106" s="4025">
        <f>'Capital Projects and FR'!E19</f>
        <v>15570427.531983994</v>
      </c>
      <c r="J106" s="4024">
        <f t="shared" si="111"/>
        <v>-766421</v>
      </c>
      <c r="K106" s="4025">
        <f>'Capital Projects and FR'!F19</f>
        <v>14804006.531983994</v>
      </c>
      <c r="M106" s="4026">
        <f>(I106-E106)/E106</f>
        <v>6.0765154609190575E-2</v>
      </c>
      <c r="N106" s="4026">
        <f>(K106-E106)/E106</f>
        <v>8.5512581769492963E-3</v>
      </c>
      <c r="P106" s="4026">
        <f>(I106-G106)/G106</f>
        <v>0.11086844211321428</v>
      </c>
      <c r="Q106" s="4335">
        <f>(K106-G106)/G106</f>
        <v>5.6188318492718763E-2</v>
      </c>
      <c r="R106" s="4024"/>
      <c r="S106" s="4024"/>
    </row>
    <row r="107" spans="1:19">
      <c r="B107" s="3924" t="s">
        <v>936</v>
      </c>
      <c r="E107" s="4024">
        <v>0</v>
      </c>
      <c r="F107" s="4024">
        <v>0</v>
      </c>
      <c r="G107" s="4024">
        <v>0</v>
      </c>
      <c r="H107" s="4024">
        <f t="shared" si="110"/>
        <v>15000000</v>
      </c>
      <c r="I107" s="4025">
        <f>'Capital Projects and FR'!G46/2</f>
        <v>15000000</v>
      </c>
      <c r="J107" s="4024">
        <f t="shared" si="111"/>
        <v>0</v>
      </c>
      <c r="K107" s="4025">
        <f>'Capital Projects and FR'!G46/2</f>
        <v>15000000</v>
      </c>
      <c r="L107" s="4024"/>
      <c r="M107" s="4026" t="e">
        <f t="shared" ref="M107" si="112">(I107-E107)/E107</f>
        <v>#DIV/0!</v>
      </c>
      <c r="N107" s="4026" t="e">
        <f t="shared" ref="N107" si="113">(K107-E107)/E107</f>
        <v>#DIV/0!</v>
      </c>
      <c r="P107" s="4026" t="e">
        <f t="shared" ref="P107" si="114">(I107-G107)/G107</f>
        <v>#DIV/0!</v>
      </c>
      <c r="Q107" s="4335" t="e">
        <f t="shared" ref="Q107" si="115">(K107-G107)/G107</f>
        <v>#DIV/0!</v>
      </c>
      <c r="R107" s="4024"/>
      <c r="S107" s="3931"/>
    </row>
    <row r="108" spans="1:19">
      <c r="A108" s="4028"/>
      <c r="B108" s="4028" t="s">
        <v>649</v>
      </c>
      <c r="C108" s="4028"/>
      <c r="D108" s="4028"/>
      <c r="E108" s="4029">
        <v>0</v>
      </c>
      <c r="F108" s="4029">
        <v>0</v>
      </c>
      <c r="G108" s="4029">
        <f t="shared" ref="G108" si="116">E108+F108</f>
        <v>0</v>
      </c>
      <c r="H108" s="4029">
        <f t="shared" si="110"/>
        <v>2379377.6653767289</v>
      </c>
      <c r="I108" s="4030">
        <f>'R&amp;R Funding'!G7</f>
        <v>2379377.6653767289</v>
      </c>
      <c r="J108" s="4029">
        <f t="shared" si="111"/>
        <v>0</v>
      </c>
      <c r="K108" s="4030">
        <f>'R&amp;R Funding'!H7</f>
        <v>2379377.6653767289</v>
      </c>
      <c r="L108" s="4028"/>
      <c r="M108" s="4334" t="e">
        <f>(I108-E108)/E108</f>
        <v>#DIV/0!</v>
      </c>
      <c r="N108" s="4032" t="e">
        <f>(K108-E108)/E108</f>
        <v>#DIV/0!</v>
      </c>
      <c r="P108" s="4123" t="e">
        <f>(I108-G108)/G108</f>
        <v>#DIV/0!</v>
      </c>
      <c r="Q108" s="4338" t="e">
        <f>(K108-G108)/G108</f>
        <v>#DIV/0!</v>
      </c>
      <c r="R108" s="3543"/>
    </row>
    <row r="109" spans="1:19">
      <c r="I109" s="4020"/>
      <c r="K109" s="4020"/>
      <c r="R109" s="3543"/>
    </row>
    <row r="110" spans="1:19" s="3942" customFormat="1">
      <c r="B110" s="3942" t="s">
        <v>655</v>
      </c>
      <c r="E110" s="4021">
        <f>SUM('Line Item Funding'!E37:E40)</f>
        <v>6773836</v>
      </c>
      <c r="F110" s="4021">
        <f>SUM('Line Item Funding'!F37:F40)</f>
        <v>0</v>
      </c>
      <c r="G110" s="4021">
        <f>SUM('Line Item Funding'!G37:G40)</f>
        <v>6773836</v>
      </c>
      <c r="H110" s="4021">
        <f t="shared" ref="H110" si="117">I110-G110</f>
        <v>4298070</v>
      </c>
      <c r="I110" s="4022">
        <f>SUM('Line Item Funding'!H37:H40)</f>
        <v>11071906</v>
      </c>
      <c r="J110" s="4021">
        <f t="shared" ref="J110" si="118">K110-I110</f>
        <v>0</v>
      </c>
      <c r="K110" s="4022">
        <f>SUM('Line Item Funding'!I37:I40)</f>
        <v>11071906</v>
      </c>
      <c r="M110" s="4023">
        <f>(I110-E110)/E110</f>
        <v>0.63451049006796145</v>
      </c>
      <c r="N110" s="4023">
        <f>(K110-E110)/E110</f>
        <v>0.63451049006796145</v>
      </c>
      <c r="O110" s="4021"/>
      <c r="P110" s="4023">
        <f>(I110-G110)/G110</f>
        <v>0.63451049006796145</v>
      </c>
      <c r="Q110" s="4337">
        <f>(K110-G110)/G110</f>
        <v>0.63451049006796145</v>
      </c>
    </row>
    <row r="111" spans="1:19">
      <c r="I111" s="4020"/>
      <c r="K111" s="4020"/>
    </row>
    <row r="112" spans="1:19">
      <c r="A112" s="3942" t="s">
        <v>669</v>
      </c>
      <c r="E112" s="4021">
        <f>E104+E110</f>
        <v>140175339</v>
      </c>
      <c r="F112" s="4021">
        <f t="shared" ref="F112:K112" si="119">F104+F110</f>
        <v>-662041</v>
      </c>
      <c r="G112" s="4021">
        <f>E112+F112</f>
        <v>139513298</v>
      </c>
      <c r="H112" s="4021">
        <f t="shared" ref="H112" si="120">I112-G112</f>
        <v>22481587.852277398</v>
      </c>
      <c r="I112" s="4022">
        <f t="shared" si="119"/>
        <v>161994885.8522774</v>
      </c>
      <c r="J112" s="4021">
        <f t="shared" ref="J112" si="121">K112-I112</f>
        <v>-766421</v>
      </c>
      <c r="K112" s="4022">
        <f t="shared" si="119"/>
        <v>161228464.8522774</v>
      </c>
      <c r="M112" s="4023">
        <f>(I112-E112)/E112</f>
        <v>0.15565895547630812</v>
      </c>
      <c r="N112" s="4023">
        <f>(K112-E112)/E112</f>
        <v>0.15019136748638359</v>
      </c>
      <c r="P112" s="4023">
        <f>(I112-G112)/G112</f>
        <v>0.16114297471684311</v>
      </c>
      <c r="Q112" s="4337">
        <f>(K112-G112)/G112</f>
        <v>0.15564944104666925</v>
      </c>
    </row>
    <row r="113" spans="1:19">
      <c r="A113" s="4038"/>
      <c r="B113" s="4038"/>
      <c r="C113" s="4038"/>
      <c r="D113" s="4038"/>
      <c r="E113" s="4038"/>
      <c r="F113" s="4038"/>
      <c r="G113" s="4038"/>
      <c r="H113" s="4038"/>
      <c r="I113" s="4039"/>
      <c r="J113" s="4038"/>
      <c r="K113" s="4039"/>
      <c r="L113" s="4038"/>
      <c r="M113" s="4040"/>
      <c r="N113" s="4040"/>
      <c r="P113" s="4040"/>
      <c r="Q113" s="4339"/>
    </row>
    <row r="114" spans="1:19">
      <c r="A114" s="4148" t="s">
        <v>670</v>
      </c>
      <c r="B114" s="3932"/>
      <c r="C114" s="3932"/>
      <c r="I114" s="4020"/>
      <c r="K114" s="4020"/>
    </row>
    <row r="115" spans="1:19" s="3942" customFormat="1">
      <c r="E115" s="4021">
        <f>SUM(E116:E120)</f>
        <v>42171869</v>
      </c>
      <c r="F115" s="4021">
        <f>SUM(F116:F120)</f>
        <v>-96065</v>
      </c>
      <c r="G115" s="4021">
        <f t="shared" ref="G115" si="122">SUM(G116:G120)</f>
        <v>42075804</v>
      </c>
      <c r="H115" s="4021">
        <f>SUM(H116:H120)</f>
        <v>8551618.6731006354</v>
      </c>
      <c r="I115" s="4022">
        <f>SUM(I116:I120)</f>
        <v>50627422.673100635</v>
      </c>
      <c r="J115" s="4021">
        <f t="shared" ref="J115:J120" si="123">K115-I115</f>
        <v>3550</v>
      </c>
      <c r="K115" s="4022">
        <f>SUM(K116:K120)</f>
        <v>50630972.673100635</v>
      </c>
      <c r="M115" s="4023">
        <f>(I115-E115)/E115</f>
        <v>0.20050222751807931</v>
      </c>
      <c r="N115" s="4023">
        <f>(K115-E115)/E115</f>
        <v>0.20058640685573209</v>
      </c>
      <c r="P115" s="4023">
        <f>(I115-G115)/G115</f>
        <v>0.203243143567753</v>
      </c>
      <c r="Q115" s="4337">
        <f>(K115-G115)/G115</f>
        <v>0.20332751509871649</v>
      </c>
    </row>
    <row r="116" spans="1:19">
      <c r="B116" s="3924" t="s">
        <v>647</v>
      </c>
      <c r="E116" s="4024">
        <f>'2013-15 PFF Budget Ops Impact'!C32</f>
        <v>37302378</v>
      </c>
      <c r="F116" s="4024">
        <v>0</v>
      </c>
      <c r="G116" s="4024">
        <f t="shared" ref="G116:G120" si="124">E116+F116</f>
        <v>37302378</v>
      </c>
      <c r="H116" s="4024">
        <f t="shared" ref="H116:H120" si="125">I116-G116</f>
        <v>1723802.4895913675</v>
      </c>
      <c r="I116" s="4025">
        <f>'2013-15 PFF Budget Ops Impact'!G32</f>
        <v>39026180.489591368</v>
      </c>
      <c r="J116" s="4024">
        <f t="shared" si="123"/>
        <v>0</v>
      </c>
      <c r="K116" s="4025">
        <f>'2013-15 PFF Budget Ops Impact'!P32</f>
        <v>39026180.489591368</v>
      </c>
      <c r="M116" s="4026">
        <f>(I116-E116)/E116</f>
        <v>4.6211597812647963E-2</v>
      </c>
      <c r="N116" s="4026">
        <f>(K116-E116)/E116</f>
        <v>4.6211597812647963E-2</v>
      </c>
      <c r="P116" s="4026">
        <f>(I116-G116)/G116</f>
        <v>4.6211597812647963E-2</v>
      </c>
      <c r="Q116" s="4335">
        <f>(K116-G116)/G116</f>
        <v>4.6211597812647963E-2</v>
      </c>
      <c r="R116" s="4024"/>
    </row>
    <row r="117" spans="1:19" hidden="1">
      <c r="B117" s="4191" t="s">
        <v>720</v>
      </c>
      <c r="C117" s="4191"/>
      <c r="D117" s="4191"/>
      <c r="E117" s="4192">
        <v>0</v>
      </c>
      <c r="F117" s="4192">
        <v>0</v>
      </c>
      <c r="G117" s="4192">
        <f t="shared" si="124"/>
        <v>0</v>
      </c>
      <c r="H117" s="4192">
        <f t="shared" si="125"/>
        <v>0</v>
      </c>
      <c r="I117" s="4193">
        <v>0</v>
      </c>
      <c r="J117" s="4192">
        <f t="shared" si="123"/>
        <v>0</v>
      </c>
      <c r="K117" s="4193">
        <v>0</v>
      </c>
      <c r="L117" s="4191"/>
      <c r="M117" s="4194" t="e">
        <f>(I117-E117)/E117</f>
        <v>#DIV/0!</v>
      </c>
      <c r="N117" s="4194" t="e">
        <f>(K117-E117)/E117</f>
        <v>#DIV/0!</v>
      </c>
      <c r="P117" s="4026" t="e">
        <f>(I117-G117)/G117</f>
        <v>#DIV/0!</v>
      </c>
      <c r="Q117" s="4335" t="e">
        <f>(K117-G117)/G117</f>
        <v>#DIV/0!</v>
      </c>
    </row>
    <row r="118" spans="1:19">
      <c r="B118" s="3924" t="s">
        <v>648</v>
      </c>
      <c r="E118" s="4024">
        <f>'Capital Projects and FR'!C20</f>
        <v>4869491</v>
      </c>
      <c r="F118" s="4024">
        <f>G118-E118</f>
        <v>-96065</v>
      </c>
      <c r="G118" s="4070">
        <f>'Capital Projects and FR'!D20</f>
        <v>4773426</v>
      </c>
      <c r="H118" s="4024">
        <f t="shared" si="125"/>
        <v>12711</v>
      </c>
      <c r="I118" s="4025">
        <f>'Capital Projects and FR'!E20</f>
        <v>4786137</v>
      </c>
      <c r="J118" s="4024">
        <f t="shared" si="123"/>
        <v>3550</v>
      </c>
      <c r="K118" s="4025">
        <f>'Capital Projects and FR'!F20</f>
        <v>4789687</v>
      </c>
      <c r="M118" s="4026">
        <f>(I118-E118)/E118</f>
        <v>-1.7117600176281257E-2</v>
      </c>
      <c r="N118" s="4026">
        <f>(K118-E118)/E118</f>
        <v>-1.638857120795582E-2</v>
      </c>
      <c r="P118" s="4026">
        <f>(I118-G118)/G118</f>
        <v>2.6628672990845568E-3</v>
      </c>
      <c r="Q118" s="4335">
        <f>(K118-G118)/G118</f>
        <v>3.406567945119501E-3</v>
      </c>
    </row>
    <row r="119" spans="1:19">
      <c r="B119" s="3924" t="s">
        <v>936</v>
      </c>
      <c r="E119" s="4024">
        <v>0</v>
      </c>
      <c r="F119" s="4024">
        <v>0</v>
      </c>
      <c r="G119" s="4024">
        <v>0</v>
      </c>
      <c r="H119" s="4024">
        <f t="shared" si="125"/>
        <v>6000000</v>
      </c>
      <c r="I119" s="4025">
        <f>('Capital Projects and FR'!G78+'Capital Projects and FR'!G77)/2</f>
        <v>6000000</v>
      </c>
      <c r="J119" s="4024">
        <f t="shared" si="123"/>
        <v>0</v>
      </c>
      <c r="K119" s="4025">
        <f>('Capital Projects and FR'!G77+'Capital Projects and FR'!G78)/2</f>
        <v>6000000</v>
      </c>
      <c r="L119" s="4024"/>
      <c r="M119" s="4026" t="e">
        <f t="shared" ref="M119" si="126">(I119-E119)/E119</f>
        <v>#DIV/0!</v>
      </c>
      <c r="N119" s="4026" t="e">
        <f t="shared" ref="N119" si="127">(K119-E119)/E119</f>
        <v>#DIV/0!</v>
      </c>
      <c r="P119" s="4026" t="e">
        <f t="shared" ref="P119" si="128">(I119-G119)/G119</f>
        <v>#DIV/0!</v>
      </c>
      <c r="Q119" s="4335" t="e">
        <f t="shared" ref="Q119" si="129">(K119-G119)/G119</f>
        <v>#DIV/0!</v>
      </c>
      <c r="S119" s="3931"/>
    </row>
    <row r="120" spans="1:19">
      <c r="A120" s="4028"/>
      <c r="B120" s="4028" t="s">
        <v>649</v>
      </c>
      <c r="C120" s="4028"/>
      <c r="D120" s="4028"/>
      <c r="E120" s="4029">
        <v>0</v>
      </c>
      <c r="F120" s="4029">
        <v>0</v>
      </c>
      <c r="G120" s="4029">
        <f t="shared" si="124"/>
        <v>0</v>
      </c>
      <c r="H120" s="4029">
        <f t="shared" si="125"/>
        <v>815105.18350926833</v>
      </c>
      <c r="I120" s="4030">
        <f>'R&amp;R Funding'!G32</f>
        <v>815105.18350926833</v>
      </c>
      <c r="J120" s="4029">
        <f t="shared" si="123"/>
        <v>0</v>
      </c>
      <c r="K120" s="4030">
        <f>'R&amp;R Funding'!H32</f>
        <v>815105.18350926833</v>
      </c>
      <c r="L120" s="4028"/>
      <c r="M120" s="4123" t="e">
        <f>(I120-E120)/E120</f>
        <v>#DIV/0!</v>
      </c>
      <c r="N120" s="4123" t="e">
        <f>(K120-E120)/E120</f>
        <v>#DIV/0!</v>
      </c>
      <c r="P120" s="4123" t="e">
        <f>(I120-G120)/G120</f>
        <v>#DIV/0!</v>
      </c>
      <c r="Q120" s="4338" t="e">
        <f>(K120-G120)/G120</f>
        <v>#DIV/0!</v>
      </c>
    </row>
    <row r="121" spans="1:19">
      <c r="I121" s="4020"/>
      <c r="K121" s="4020"/>
    </row>
    <row r="122" spans="1:19" s="3942" customFormat="1">
      <c r="B122" s="3942" t="s">
        <v>655</v>
      </c>
      <c r="E122" s="4021">
        <f>SUM('Line Item Funding'!E50:E51)</f>
        <v>0</v>
      </c>
      <c r="F122" s="4021">
        <f>SUM('Line Item Funding'!F50:F51)</f>
        <v>0</v>
      </c>
      <c r="G122" s="4021">
        <f>SUM('Line Item Funding'!G50:G51)</f>
        <v>0</v>
      </c>
      <c r="H122" s="4021">
        <f>I122-G122</f>
        <v>1474650</v>
      </c>
      <c r="I122" s="4022">
        <f>SUM('Line Item Funding'!H50:H51)</f>
        <v>1474650</v>
      </c>
      <c r="J122" s="4021">
        <f t="shared" ref="J122" si="130">K122-I122</f>
        <v>0</v>
      </c>
      <c r="K122" s="4022">
        <f>SUM('Line Item Funding'!I50:I51)</f>
        <v>1474650</v>
      </c>
      <c r="M122" s="4023">
        <v>0</v>
      </c>
      <c r="N122" s="4023">
        <v>0</v>
      </c>
      <c r="O122" s="3924"/>
      <c r="P122" s="4023">
        <v>0</v>
      </c>
      <c r="Q122" s="4337">
        <v>0</v>
      </c>
    </row>
    <row r="123" spans="1:19">
      <c r="I123" s="4020"/>
      <c r="K123" s="4020"/>
    </row>
    <row r="124" spans="1:19">
      <c r="A124" s="3942" t="s">
        <v>671</v>
      </c>
      <c r="E124" s="4021">
        <f>E115+E122</f>
        <v>42171869</v>
      </c>
      <c r="F124" s="4021">
        <f>F115+F122</f>
        <v>-96065</v>
      </c>
      <c r="G124" s="4021">
        <f>E124+F124</f>
        <v>42075804</v>
      </c>
      <c r="H124" s="4021">
        <f>I124-G124</f>
        <v>10026268.673100635</v>
      </c>
      <c r="I124" s="4022">
        <f>I115+I122</f>
        <v>52102072.673100635</v>
      </c>
      <c r="J124" s="4021">
        <f t="shared" ref="J124" si="131">K124-I124</f>
        <v>3550</v>
      </c>
      <c r="K124" s="4022">
        <f>K115+K122</f>
        <v>52105622.673100635</v>
      </c>
      <c r="M124" s="4023">
        <f>(I124-E124)/E124</f>
        <v>0.23546985012925645</v>
      </c>
      <c r="N124" s="4023">
        <f>(K124-E124)/E124</f>
        <v>0.23555402946690923</v>
      </c>
      <c r="P124" s="4023">
        <f>(I124-G124)/G124</f>
        <v>0.23829060219742051</v>
      </c>
      <c r="Q124" s="4337">
        <f>(K124-G124)/G124</f>
        <v>0.23837497372838401</v>
      </c>
    </row>
    <row r="125" spans="1:19">
      <c r="A125" s="4038"/>
      <c r="B125" s="4038"/>
      <c r="C125" s="4038"/>
      <c r="D125" s="4038"/>
      <c r="E125" s="4038"/>
      <c r="F125" s="4038"/>
      <c r="G125" s="4038"/>
      <c r="H125" s="4038"/>
      <c r="I125" s="4039"/>
      <c r="J125" s="4038"/>
      <c r="K125" s="4039"/>
      <c r="L125" s="4038"/>
      <c r="M125" s="4040"/>
      <c r="N125" s="4040"/>
      <c r="P125" s="4040"/>
      <c r="Q125" s="4339"/>
    </row>
    <row r="126" spans="1:19">
      <c r="A126" s="4148" t="s">
        <v>672</v>
      </c>
      <c r="B126" s="3932"/>
      <c r="C126" s="3932"/>
      <c r="D126" s="3932"/>
      <c r="E126" s="3932"/>
      <c r="I126" s="4020"/>
      <c r="K126" s="4020"/>
    </row>
    <row r="127" spans="1:19" s="3942" customFormat="1">
      <c r="E127" s="4021">
        <f t="shared" ref="E127:K127" si="132">SUM(E128:E131)</f>
        <v>217223628</v>
      </c>
      <c r="F127" s="4021">
        <f t="shared" si="132"/>
        <v>-63610</v>
      </c>
      <c r="G127" s="4021">
        <f t="shared" si="132"/>
        <v>217160018</v>
      </c>
      <c r="H127" s="4021">
        <f t="shared" si="132"/>
        <v>25559430.028117314</v>
      </c>
      <c r="I127" s="4022">
        <f t="shared" si="132"/>
        <v>242719448.0281173</v>
      </c>
      <c r="J127" s="4021">
        <f t="shared" si="132"/>
        <v>-465385</v>
      </c>
      <c r="K127" s="4022">
        <f t="shared" si="132"/>
        <v>242254063.0281173</v>
      </c>
      <c r="M127" s="4023">
        <f>(I127-E127)/E127</f>
        <v>0.11737130192907605</v>
      </c>
      <c r="N127" s="4023">
        <f>(K127-E127)/E127</f>
        <v>0.11522887845385447</v>
      </c>
      <c r="P127" s="4023">
        <f>(I127-G127)/G127</f>
        <v>0.11769859969396991</v>
      </c>
      <c r="Q127" s="4337">
        <f>(K127-G127)/G127</f>
        <v>0.11555554866511983</v>
      </c>
    </row>
    <row r="128" spans="1:19">
      <c r="B128" s="3924" t="s">
        <v>647</v>
      </c>
      <c r="E128" s="4024">
        <f>'2013-15 PFF Budget Ops Impact'!C30</f>
        <v>186417941</v>
      </c>
      <c r="F128" s="4024">
        <v>0</v>
      </c>
      <c r="G128" s="4024">
        <f>E128+F128</f>
        <v>186417941</v>
      </c>
      <c r="H128" s="4024">
        <f t="shared" ref="H128:H131" si="133">I128-G128</f>
        <v>13896749.566500008</v>
      </c>
      <c r="I128" s="4025">
        <f>'2013-15 PFF Budget Ops Impact'!G30</f>
        <v>200314690.56650001</v>
      </c>
      <c r="J128" s="4024">
        <f t="shared" ref="J128:J131" si="134">K128-I128</f>
        <v>0</v>
      </c>
      <c r="K128" s="4025">
        <f>'2013-15 PFF Budget Ops Impact'!P30</f>
        <v>200314690.56650001</v>
      </c>
      <c r="M128" s="4026">
        <f>(I128-E128)/E128</f>
        <v>7.4546202430698497E-2</v>
      </c>
      <c r="N128" s="4026">
        <f>(K128-E128)/E128</f>
        <v>7.4546202430698497E-2</v>
      </c>
      <c r="P128" s="4026">
        <f>(I128-G128)/G128</f>
        <v>7.4546202430698497E-2</v>
      </c>
      <c r="Q128" s="4335">
        <f>(K128-G128)/G128</f>
        <v>7.4546202430698497E-2</v>
      </c>
    </row>
    <row r="129" spans="1:19">
      <c r="B129" s="3924" t="s">
        <v>648</v>
      </c>
      <c r="E129" s="4024">
        <f>'Capital Projects and FR'!C21</f>
        <v>30805687</v>
      </c>
      <c r="F129" s="4024">
        <f>G129-E129</f>
        <v>-63610</v>
      </c>
      <c r="G129" s="4024">
        <f>'Capital Projects and FR'!D21</f>
        <v>30742077</v>
      </c>
      <c r="H129" s="4024">
        <f t="shared" si="133"/>
        <v>3132336.471050933</v>
      </c>
      <c r="I129" s="4025">
        <f>'Capital Projects and FR'!E21</f>
        <v>33874413.471050933</v>
      </c>
      <c r="J129" s="4024">
        <f t="shared" si="134"/>
        <v>-465385</v>
      </c>
      <c r="K129" s="4025">
        <f>'Capital Projects and FR'!F21</f>
        <v>33409028.471050933</v>
      </c>
      <c r="M129" s="4026">
        <f>(I129-E129)/E129</f>
        <v>9.9615583026956445E-2</v>
      </c>
      <c r="N129" s="4026">
        <f>(K129-E129)/E129</f>
        <v>8.4508469850094012E-2</v>
      </c>
      <c r="P129" s="4026">
        <f>(I129-G129)/G129</f>
        <v>0.10189085373284743</v>
      </c>
      <c r="Q129" s="4335">
        <f>(K129-G129)/G129</f>
        <v>8.6752481657336719E-2</v>
      </c>
    </row>
    <row r="130" spans="1:19">
      <c r="B130" s="3924" t="s">
        <v>936</v>
      </c>
      <c r="E130" s="4024">
        <v>0</v>
      </c>
      <c r="F130" s="4024">
        <v>0</v>
      </c>
      <c r="G130" s="4024">
        <v>0</v>
      </c>
      <c r="H130" s="4024">
        <f t="shared" si="133"/>
        <v>6000000</v>
      </c>
      <c r="I130" s="4025">
        <f>'Capital Projects and FR'!G61/2</f>
        <v>6000000</v>
      </c>
      <c r="J130" s="4024">
        <f t="shared" si="134"/>
        <v>0</v>
      </c>
      <c r="K130" s="4025">
        <f>'Capital Projects and FR'!G61/2</f>
        <v>6000000</v>
      </c>
      <c r="L130" s="4024"/>
      <c r="M130" s="4026" t="e">
        <f t="shared" ref="M130" si="135">(I130-E130)/E130</f>
        <v>#DIV/0!</v>
      </c>
      <c r="N130" s="4026" t="e">
        <f t="shared" ref="N130" si="136">(K130-E130)/E130</f>
        <v>#DIV/0!</v>
      </c>
      <c r="P130" s="4026" t="e">
        <f t="shared" ref="P130" si="137">(I130-G130)/G130</f>
        <v>#DIV/0!</v>
      </c>
      <c r="Q130" s="4335" t="e">
        <f t="shared" ref="Q130" si="138">(K130-G130)/G130</f>
        <v>#DIV/0!</v>
      </c>
      <c r="S130" s="3931"/>
    </row>
    <row r="131" spans="1:19">
      <c r="A131" s="4028"/>
      <c r="B131" s="4028" t="s">
        <v>649</v>
      </c>
      <c r="C131" s="4028"/>
      <c r="D131" s="4028"/>
      <c r="E131" s="4029">
        <v>0</v>
      </c>
      <c r="F131" s="4029">
        <v>0</v>
      </c>
      <c r="G131" s="4029">
        <f t="shared" ref="G131" si="139">E131+F131</f>
        <v>0</v>
      </c>
      <c r="H131" s="4029">
        <f t="shared" si="133"/>
        <v>2530343.9905663715</v>
      </c>
      <c r="I131" s="4030">
        <f>'R&amp;R Funding'!G11</f>
        <v>2530343.9905663715</v>
      </c>
      <c r="J131" s="4029">
        <f t="shared" si="134"/>
        <v>0</v>
      </c>
      <c r="K131" s="4030">
        <f>'R&amp;R Funding'!H11</f>
        <v>2530343.9905663715</v>
      </c>
      <c r="L131" s="4028"/>
      <c r="M131" s="4123" t="e">
        <f>(I131-E131)/E131</f>
        <v>#DIV/0!</v>
      </c>
      <c r="N131" s="4123" t="e">
        <f>(K131-E131)/E131</f>
        <v>#DIV/0!</v>
      </c>
      <c r="P131" s="4123" t="e">
        <f>(I131-G131)/G131</f>
        <v>#DIV/0!</v>
      </c>
      <c r="Q131" s="4338" t="e">
        <f>(K131-G131)/G131</f>
        <v>#DIV/0!</v>
      </c>
    </row>
    <row r="132" spans="1:19">
      <c r="I132" s="4020"/>
      <c r="K132" s="4020"/>
    </row>
    <row r="133" spans="1:19" s="3942" customFormat="1">
      <c r="B133" s="3942" t="s">
        <v>655</v>
      </c>
      <c r="E133" s="4021">
        <f>SUM('Line Item Funding'!E53:E55)</f>
        <v>1085411.3999999999</v>
      </c>
      <c r="F133" s="4021">
        <f>SUM('Line Item Funding'!F53:F55)</f>
        <v>0</v>
      </c>
      <c r="G133" s="4021">
        <f>SUM('Line Item Funding'!G53:G55)</f>
        <v>1085411.3999999999</v>
      </c>
      <c r="H133" s="4021">
        <f t="shared" ref="H133" si="140">I133-G133</f>
        <v>4125149.6</v>
      </c>
      <c r="I133" s="4022">
        <f>SUM('Line Item Funding'!H53:H55)</f>
        <v>5210561</v>
      </c>
      <c r="J133" s="4021">
        <f t="shared" ref="J133" si="141">K133-I133</f>
        <v>0</v>
      </c>
      <c r="K133" s="4022">
        <f>SUM('Line Item Funding'!I53:I55)</f>
        <v>5210561</v>
      </c>
      <c r="M133" s="4023">
        <f>(I133-E133)/E133</f>
        <v>3.8005401454232013</v>
      </c>
      <c r="N133" s="4023">
        <f>(K133-E133)/E133</f>
        <v>3.8005401454232013</v>
      </c>
      <c r="O133" s="4021"/>
      <c r="P133" s="4026">
        <f>(I133-G133)/G133</f>
        <v>3.8005401454232013</v>
      </c>
      <c r="Q133" s="4335">
        <f>(K133-G133)/G133</f>
        <v>3.8005401454232013</v>
      </c>
    </row>
    <row r="134" spans="1:19">
      <c r="I134" s="4020"/>
      <c r="K134" s="4020"/>
    </row>
    <row r="135" spans="1:19">
      <c r="A135" s="3942" t="s">
        <v>673</v>
      </c>
      <c r="E135" s="4021">
        <f>E127+E133</f>
        <v>218309039.40000001</v>
      </c>
      <c r="F135" s="4021">
        <f t="shared" ref="F135:K135" si="142">F127+F133</f>
        <v>-63610</v>
      </c>
      <c r="G135" s="4021">
        <f>E135+F135</f>
        <v>218245429.40000001</v>
      </c>
      <c r="H135" s="4021">
        <f t="shared" ref="H135" si="143">I135-G135</f>
        <v>29684579.628117293</v>
      </c>
      <c r="I135" s="4022">
        <f t="shared" si="142"/>
        <v>247930009.0281173</v>
      </c>
      <c r="J135" s="4021">
        <f t="shared" ref="J135" si="144">K135-I135</f>
        <v>-465385</v>
      </c>
      <c r="K135" s="4022">
        <f t="shared" si="142"/>
        <v>247464624.0281173</v>
      </c>
      <c r="M135" s="4023">
        <f>(I135-E135)/E135</f>
        <v>0.13568366069278437</v>
      </c>
      <c r="N135" s="4023">
        <f>(K135-E135)/E135</f>
        <v>0.13355188913958133</v>
      </c>
      <c r="P135" s="4023">
        <f>(I135-G135)/G135</f>
        <v>0.13601466802638704</v>
      </c>
      <c r="Q135" s="4337">
        <f>(K135-G135)/G135</f>
        <v>0.13388227514521911</v>
      </c>
    </row>
    <row r="136" spans="1:19">
      <c r="A136" s="4038"/>
      <c r="B136" s="4038"/>
      <c r="C136" s="4038"/>
      <c r="D136" s="4038"/>
      <c r="E136" s="4038"/>
      <c r="F136" s="4038"/>
      <c r="G136" s="4038"/>
      <c r="H136" s="4038"/>
      <c r="I136" s="4039"/>
      <c r="J136" s="4038"/>
      <c r="K136" s="4039"/>
      <c r="L136" s="4038"/>
      <c r="M136" s="4040"/>
      <c r="N136" s="4040"/>
      <c r="P136" s="4040"/>
      <c r="Q136" s="4339"/>
    </row>
    <row r="137" spans="1:19">
      <c r="A137" s="3942" t="s">
        <v>593</v>
      </c>
      <c r="E137" s="4021">
        <f>SUM(E138:E142)</f>
        <v>290454494.80000001</v>
      </c>
      <c r="F137" s="4021">
        <f t="shared" ref="F137:K137" si="145">SUM(F138:F142)</f>
        <v>-517875.94</v>
      </c>
      <c r="G137" s="4021">
        <f t="shared" si="145"/>
        <v>289936618.86000001</v>
      </c>
      <c r="H137" s="4021">
        <f t="shared" ref="H137:H142" si="146">I137-G137</f>
        <v>49165903.569355488</v>
      </c>
      <c r="I137" s="4022">
        <f t="shared" si="145"/>
        <v>339102522.4293555</v>
      </c>
      <c r="J137" s="4021">
        <f t="shared" ref="J137:J142" si="147">K137-I137</f>
        <v>-13671211</v>
      </c>
      <c r="K137" s="4022">
        <f t="shared" si="145"/>
        <v>325431311.4293555</v>
      </c>
      <c r="M137" s="4023">
        <f t="shared" ref="M137:M142" si="148">(I137-E137)/E137</f>
        <v>0.16748932621219498</v>
      </c>
      <c r="N137" s="4023">
        <f t="shared" ref="N137:N142" si="149">(K137-E137)/E137</f>
        <v>0.12042098592221713</v>
      </c>
      <c r="P137" s="4023">
        <f t="shared" ref="P137:P142" si="150">(I137-G137)/G137</f>
        <v>0.16957466001593935</v>
      </c>
      <c r="Q137" s="4337">
        <f t="shared" ref="Q137:Q142" si="151">(K137-G137)/G137</f>
        <v>0.12242224769301942</v>
      </c>
    </row>
    <row r="138" spans="1:19">
      <c r="B138" s="3924" t="s">
        <v>911</v>
      </c>
      <c r="E138" s="4024">
        <f>'Line Item Funding'!E99</f>
        <v>280920073</v>
      </c>
      <c r="F138" s="4024">
        <f>'Line Item Funding'!F99</f>
        <v>-368621</v>
      </c>
      <c r="G138" s="4024">
        <f>E138+F138</f>
        <v>280551452</v>
      </c>
      <c r="H138" s="4024">
        <f t="shared" si="146"/>
        <v>44431018.9063555</v>
      </c>
      <c r="I138" s="4025">
        <f>'Line Item Funding'!H99</f>
        <v>324982470.9063555</v>
      </c>
      <c r="J138" s="4024">
        <f t="shared" si="147"/>
        <v>-13771211</v>
      </c>
      <c r="K138" s="4025">
        <f>'Line Item Funding'!I99</f>
        <v>311211259.9063555</v>
      </c>
      <c r="M138" s="4026">
        <f t="shared" si="148"/>
        <v>0.1568503006417612</v>
      </c>
      <c r="N138" s="4026">
        <f t="shared" si="149"/>
        <v>0.10782848866181058</v>
      </c>
      <c r="P138" s="4026">
        <f t="shared" si="150"/>
        <v>0.15837030458981727</v>
      </c>
      <c r="Q138" s="4335">
        <f t="shared" si="151"/>
        <v>0.10928408207402719</v>
      </c>
      <c r="R138" s="4024"/>
      <c r="S138" s="4024"/>
    </row>
    <row r="139" spans="1:19">
      <c r="B139" s="3924" t="s">
        <v>674</v>
      </c>
      <c r="E139" s="4024">
        <f>'Line Item Funding'!E92+'Line Item Funding'!E96+'Line Item Funding'!E91+'Line Item Funding'!E90+'Line Item Funding'!E93</f>
        <v>2576423.7999999998</v>
      </c>
      <c r="F139" s="4024">
        <f>'Line Item Funding'!F92+'Line Item Funding'!F96+'Line Item Funding'!F91+'Line Item Funding'!F90</f>
        <v>-91955</v>
      </c>
      <c r="G139" s="4024">
        <f>'Line Item Funding'!G92+'Line Item Funding'!G96+'Line Item Funding'!G91+'Line Item Funding'!G90</f>
        <v>2484468.7999999998</v>
      </c>
      <c r="H139" s="4024">
        <f t="shared" si="146"/>
        <v>4826584.7230000002</v>
      </c>
      <c r="I139" s="4025">
        <f>'Line Item Funding'!H92+'Line Item Funding'!H96+'Line Item Funding'!H91+'Line Item Funding'!H90+'Line Item Funding'!H93</f>
        <v>7311053.523</v>
      </c>
      <c r="J139" s="4024">
        <f t="shared" si="147"/>
        <v>0</v>
      </c>
      <c r="K139" s="4025">
        <f>'Line Item Funding'!I92+'Line Item Funding'!I96+'Line Item Funding'!I91+'Line Item Funding'!I90+'Line Item Funding'!I93</f>
        <v>7311053.523</v>
      </c>
      <c r="M139" s="4026">
        <f t="shared" si="148"/>
        <v>1.8376750451536741</v>
      </c>
      <c r="N139" s="4026">
        <f t="shared" si="149"/>
        <v>1.8376750451536741</v>
      </c>
      <c r="P139" s="4026">
        <f t="shared" si="150"/>
        <v>1.942702892062883</v>
      </c>
      <c r="Q139" s="4335">
        <f t="shared" si="151"/>
        <v>1.942702892062883</v>
      </c>
      <c r="R139" s="4024"/>
      <c r="S139" s="4024"/>
    </row>
    <row r="140" spans="1:19">
      <c r="B140" s="3924" t="s">
        <v>639</v>
      </c>
      <c r="E140" s="4024">
        <v>0</v>
      </c>
      <c r="F140" s="4024">
        <f>SUM('Line Item Funding'!F57:F67)</f>
        <v>0</v>
      </c>
      <c r="G140" s="4024">
        <f t="shared" ref="G140:G142" si="152">E140+F140</f>
        <v>0</v>
      </c>
      <c r="H140" s="4024">
        <f t="shared" si="146"/>
        <v>0</v>
      </c>
      <c r="I140" s="4025">
        <v>0</v>
      </c>
      <c r="J140" s="4024">
        <f t="shared" si="147"/>
        <v>0</v>
      </c>
      <c r="K140" s="4025">
        <v>0</v>
      </c>
      <c r="M140" s="4026" t="e">
        <f t="shared" si="148"/>
        <v>#DIV/0!</v>
      </c>
      <c r="N140" s="4026" t="e">
        <f t="shared" si="149"/>
        <v>#DIV/0!</v>
      </c>
      <c r="P140" s="4026" t="e">
        <f t="shared" si="150"/>
        <v>#DIV/0!</v>
      </c>
      <c r="Q140" s="4335" t="e">
        <f t="shared" si="151"/>
        <v>#DIV/0!</v>
      </c>
    </row>
    <row r="141" spans="1:19">
      <c r="B141" s="3924" t="s">
        <v>675</v>
      </c>
      <c r="E141" s="4024">
        <f>'Line Item Funding'!E89</f>
        <v>1909998</v>
      </c>
      <c r="F141" s="4024">
        <f>'Line Item Funding'!F89</f>
        <v>-57299.939999999995</v>
      </c>
      <c r="G141" s="4024">
        <f t="shared" si="152"/>
        <v>1852698.06</v>
      </c>
      <c r="H141" s="4024">
        <f t="shared" si="146"/>
        <v>57299.939999999944</v>
      </c>
      <c r="I141" s="4025">
        <f>'Line Item Funding'!H89</f>
        <v>1909998</v>
      </c>
      <c r="J141" s="4024">
        <f t="shared" si="147"/>
        <v>0</v>
      </c>
      <c r="K141" s="4025">
        <f>'Line Item Funding'!I89</f>
        <v>1909998</v>
      </c>
      <c r="M141" s="4026">
        <f t="shared" si="148"/>
        <v>0</v>
      </c>
      <c r="N141" s="4026">
        <f t="shared" si="149"/>
        <v>0</v>
      </c>
      <c r="P141" s="4026">
        <f t="shared" si="150"/>
        <v>3.0927835051546362E-2</v>
      </c>
      <c r="Q141" s="4335">
        <f t="shared" si="151"/>
        <v>3.0927835051546362E-2</v>
      </c>
    </row>
    <row r="142" spans="1:19">
      <c r="B142" s="3924" t="s">
        <v>676</v>
      </c>
      <c r="E142" s="4024">
        <f>'Line Item Funding'!E87</f>
        <v>5048000</v>
      </c>
      <c r="F142" s="4024">
        <f>'Line Item Funding'!F87</f>
        <v>0</v>
      </c>
      <c r="G142" s="4024">
        <f t="shared" si="152"/>
        <v>5048000</v>
      </c>
      <c r="H142" s="4024">
        <f t="shared" si="146"/>
        <v>-149000</v>
      </c>
      <c r="I142" s="4025">
        <f>'Line Item Funding'!H87</f>
        <v>4899000</v>
      </c>
      <c r="J142" s="4024">
        <f t="shared" si="147"/>
        <v>100000</v>
      </c>
      <c r="K142" s="4025">
        <f>'Line Item Funding'!I87</f>
        <v>4999000</v>
      </c>
      <c r="M142" s="4026">
        <f t="shared" si="148"/>
        <v>-2.9516640253565769E-2</v>
      </c>
      <c r="N142" s="4026">
        <f t="shared" si="149"/>
        <v>-9.7068145800316957E-3</v>
      </c>
      <c r="P142" s="4026">
        <f t="shared" si="150"/>
        <v>-2.9516640253565769E-2</v>
      </c>
      <c r="Q142" s="4335">
        <f t="shared" si="151"/>
        <v>-9.7068145800316957E-3</v>
      </c>
    </row>
    <row r="143" spans="1:19">
      <c r="A143" s="4038"/>
      <c r="B143" s="4038"/>
      <c r="C143" s="4038"/>
      <c r="D143" s="4038"/>
      <c r="E143" s="4038"/>
      <c r="F143" s="4038"/>
      <c r="G143" s="4038"/>
      <c r="H143" s="4038"/>
      <c r="I143" s="4039" t="s">
        <v>677</v>
      </c>
      <c r="J143" s="4038"/>
      <c r="K143" s="4039"/>
      <c r="L143" s="4038"/>
      <c r="M143" s="4040"/>
      <c r="N143" s="4040"/>
      <c r="P143" s="4040"/>
      <c r="Q143" s="4339"/>
    </row>
    <row r="144" spans="1:19" ht="13.8" thickBot="1">
      <c r="A144" s="3932"/>
      <c r="B144" s="3932"/>
      <c r="C144" s="3932"/>
      <c r="D144" s="3932"/>
      <c r="E144" s="3932"/>
      <c r="F144" s="3932"/>
      <c r="G144" s="3932"/>
      <c r="H144" s="3932"/>
      <c r="I144" s="4043"/>
      <c r="J144" s="3932"/>
      <c r="K144" s="4043"/>
    </row>
    <row r="145" spans="1:17">
      <c r="A145" s="4044" t="s">
        <v>768</v>
      </c>
      <c r="B145" s="4045"/>
      <c r="C145" s="4045"/>
      <c r="D145" s="4045"/>
      <c r="E145" s="4046">
        <f>SUM(E146:E151)</f>
        <v>1701997798.8499999</v>
      </c>
      <c r="F145" s="4046">
        <f t="shared" ref="F145:K145" si="153">SUM(F146:F151)</f>
        <v>-3546478.073369999</v>
      </c>
      <c r="G145" s="4046">
        <f t="shared" si="153"/>
        <v>1698451320.7766299</v>
      </c>
      <c r="H145" s="4046">
        <f>SUM(H146:H151)</f>
        <v>261915128.08218488</v>
      </c>
      <c r="I145" s="4047">
        <f>SUM(I146:I151)</f>
        <v>1960366448.8588147</v>
      </c>
      <c r="J145" s="4046">
        <f>SUM(J146:J151)</f>
        <v>-16736330.290000007</v>
      </c>
      <c r="K145" s="4047">
        <f t="shared" si="153"/>
        <v>1943630118.5688148</v>
      </c>
      <c r="L145" s="4045"/>
      <c r="M145" s="4048">
        <f>(I145-E145)/E145</f>
        <v>0.15180316342558636</v>
      </c>
      <c r="N145" s="4049">
        <f>(K145-E145)/E145</f>
        <v>0.1419698191631506</v>
      </c>
      <c r="P145" s="4050">
        <f>(I145-G145)/G145</f>
        <v>0.15420820419064002</v>
      </c>
      <c r="Q145" s="4340">
        <f>(K145-G145)/G145</f>
        <v>0.14435432725859634</v>
      </c>
    </row>
    <row r="146" spans="1:17">
      <c r="A146" s="4051"/>
      <c r="B146" s="4052" t="s">
        <v>678</v>
      </c>
      <c r="C146" s="4052"/>
      <c r="D146" s="4052"/>
      <c r="E146" s="4053">
        <f t="shared" ref="E146:K146" si="154">E8+E13+E18+E23+E28+E33+E38+E43+E55+E60+E65+E70+E82+E93+E105+E116+E128</f>
        <v>1215309286.3</v>
      </c>
      <c r="F146" s="4053">
        <f t="shared" si="154"/>
        <v>0</v>
      </c>
      <c r="G146" s="4053">
        <f t="shared" si="154"/>
        <v>1215309286.3</v>
      </c>
      <c r="H146" s="4053">
        <f>H8+H13+H18+H23+H28+H33+H38+H43+H55+H60+H65+H70+H82+H93+H105+H116+H128</f>
        <v>45861046.583555572</v>
      </c>
      <c r="I146" s="4054">
        <f t="shared" si="154"/>
        <v>1261170332.8835557</v>
      </c>
      <c r="J146" s="4053">
        <f t="shared" si="154"/>
        <v>0</v>
      </c>
      <c r="K146" s="4054">
        <f t="shared" si="154"/>
        <v>1261170332.8835557</v>
      </c>
      <c r="L146" s="4052"/>
      <c r="M146" s="4055">
        <f>(I146-E146)/E146</f>
        <v>3.7736111375548949E-2</v>
      </c>
      <c r="N146" s="4056">
        <f>(K146-E146)/E146</f>
        <v>3.7736111375548949E-2</v>
      </c>
      <c r="P146" s="4057">
        <f>(I146-G146)/G146</f>
        <v>3.7736111375548949E-2</v>
      </c>
      <c r="Q146" s="4341">
        <f>(K146-G146)/G146</f>
        <v>3.7736111375548949E-2</v>
      </c>
    </row>
    <row r="147" spans="1:17">
      <c r="A147" s="4051"/>
      <c r="B147" s="4052" t="s">
        <v>772</v>
      </c>
      <c r="C147" s="4052"/>
      <c r="D147" s="4052"/>
      <c r="E147" s="4053">
        <f t="shared" ref="E147:K147" si="155">E94+E117</f>
        <v>0</v>
      </c>
      <c r="F147" s="4053">
        <f t="shared" si="155"/>
        <v>0</v>
      </c>
      <c r="G147" s="4053">
        <f t="shared" si="155"/>
        <v>0</v>
      </c>
      <c r="H147" s="4053">
        <f>H94+H117</f>
        <v>0</v>
      </c>
      <c r="I147" s="4054">
        <f t="shared" si="155"/>
        <v>0</v>
      </c>
      <c r="J147" s="4053">
        <f t="shared" si="155"/>
        <v>0</v>
      </c>
      <c r="K147" s="4054">
        <f t="shared" si="155"/>
        <v>0</v>
      </c>
      <c r="L147" s="4052"/>
      <c r="M147" s="4055"/>
      <c r="N147" s="4056"/>
      <c r="P147" s="4057" t="e">
        <f t="shared" ref="P147:P150" si="156">(I147-G147)/G147</f>
        <v>#DIV/0!</v>
      </c>
      <c r="Q147" s="4341" t="e">
        <f t="shared" ref="Q147:Q150" si="157">(K147-G147)/G147</f>
        <v>#DIV/0!</v>
      </c>
    </row>
    <row r="148" spans="1:17">
      <c r="A148" s="4051"/>
      <c r="B148" s="4052" t="s">
        <v>679</v>
      </c>
      <c r="C148" s="4052"/>
      <c r="D148" s="4052"/>
      <c r="E148" s="4053">
        <f t="shared" ref="E148:K148" si="158">E9+E14+E19+E24+E29+E34+E39+E44+E56+E61+E66+E71+E83+E95+E106+E118+E129</f>
        <v>151873910</v>
      </c>
      <c r="F148" s="4053">
        <f t="shared" si="158"/>
        <v>-3028602.133369999</v>
      </c>
      <c r="G148" s="4053">
        <f t="shared" si="158"/>
        <v>148845307.86663002</v>
      </c>
      <c r="H148" s="4053">
        <f t="shared" si="158"/>
        <v>8162660.7254828522</v>
      </c>
      <c r="I148" s="4054">
        <f t="shared" si="158"/>
        <v>157007968.59211284</v>
      </c>
      <c r="J148" s="4053">
        <f t="shared" si="158"/>
        <v>-2185858.9999999991</v>
      </c>
      <c r="K148" s="4054">
        <f t="shared" si="158"/>
        <v>154822109.59211284</v>
      </c>
      <c r="L148" s="4052"/>
      <c r="M148" s="4055">
        <f>(I148-E148)/E148</f>
        <v>3.3804743633141725E-2</v>
      </c>
      <c r="N148" s="4056">
        <f>(K148-E148)/E148</f>
        <v>1.9412153095372597E-2</v>
      </c>
      <c r="P148" s="4057">
        <f t="shared" si="156"/>
        <v>5.4839892788537327E-2</v>
      </c>
      <c r="Q148" s="4341">
        <f t="shared" si="157"/>
        <v>4.0154451699869642E-2</v>
      </c>
    </row>
    <row r="149" spans="1:17">
      <c r="A149" s="4051"/>
      <c r="B149" s="4052" t="s">
        <v>937</v>
      </c>
      <c r="C149" s="4052"/>
      <c r="D149" s="4052"/>
      <c r="E149" s="4053">
        <f>E10+E15+E20+E25+E30+E35+E40+E45+E57+E62+E67+E72+E84+E96+E107+E119+E130</f>
        <v>0</v>
      </c>
      <c r="F149" s="4053">
        <f t="shared" ref="F149:G149" si="159">F10+F15+F20+F25+F30+F35+F40+F45+F57+F62+F67+F72+F84+F96+F107+F119+F130</f>
        <v>0</v>
      </c>
      <c r="G149" s="4053">
        <f t="shared" si="159"/>
        <v>0</v>
      </c>
      <c r="H149" s="4053">
        <f>H10+H15+H20+H25+H30+H35+H40+H45+H57+H62+H67+H72+H84+H96+H107+H119+H130</f>
        <v>107675000</v>
      </c>
      <c r="I149" s="4054">
        <f>I10+I15+I20+I25+I30+I35+I40+I45+I57+I62+I67+I72+I84+I96+I107+I119+I130</f>
        <v>107675000</v>
      </c>
      <c r="J149" s="4053">
        <f>J10+J15+J20+J25+J30+J35+J40+J45+J57+J62+J67+J72+J84+J96+J107+J119+J130</f>
        <v>0</v>
      </c>
      <c r="K149" s="4054">
        <f>K10+K15+K20+K25+K30+K35+K40+K45+K57+K62+K67+K72+K84+K96+K107+K119+K130</f>
        <v>107675000</v>
      </c>
      <c r="L149" s="4052"/>
      <c r="M149" s="4055" t="e">
        <f>(I149-E149)/E149</f>
        <v>#DIV/0!</v>
      </c>
      <c r="N149" s="4056" t="e">
        <f>(K149-E149)/E149</f>
        <v>#DIV/0!</v>
      </c>
      <c r="P149" s="4057" t="e">
        <f t="shared" ref="P149" si="160">(I149-G149)/G149</f>
        <v>#DIV/0!</v>
      </c>
      <c r="Q149" s="4341" t="e">
        <f t="shared" ref="Q149" si="161">(K149-G149)/G149</f>
        <v>#DIV/0!</v>
      </c>
    </row>
    <row r="150" spans="1:17">
      <c r="A150" s="4051"/>
      <c r="B150" s="4052" t="s">
        <v>680</v>
      </c>
      <c r="C150" s="4052"/>
      <c r="D150" s="4052"/>
      <c r="E150" s="4053">
        <f t="shared" ref="E150:K150" si="162">E11+E16+E21+E26+E31+E36+E41+E46+E58+E63+E68+E73+E85+E97+E108+E120+E131</f>
        <v>0</v>
      </c>
      <c r="F150" s="4053">
        <f t="shared" si="162"/>
        <v>0</v>
      </c>
      <c r="G150" s="4053">
        <f t="shared" si="162"/>
        <v>0</v>
      </c>
      <c r="H150" s="4053">
        <f t="shared" si="162"/>
        <v>28492947.00679097</v>
      </c>
      <c r="I150" s="4054">
        <f t="shared" si="162"/>
        <v>28492947.00679097</v>
      </c>
      <c r="J150" s="4053">
        <f t="shared" si="162"/>
        <v>0</v>
      </c>
      <c r="K150" s="4054">
        <f t="shared" si="162"/>
        <v>28492947.00679097</v>
      </c>
      <c r="L150" s="4052"/>
      <c r="M150" s="4055"/>
      <c r="N150" s="4056"/>
      <c r="P150" s="4057" t="e">
        <f t="shared" si="156"/>
        <v>#DIV/0!</v>
      </c>
      <c r="Q150" s="4341" t="e">
        <f t="shared" si="157"/>
        <v>#DIV/0!</v>
      </c>
    </row>
    <row r="151" spans="1:17" ht="13.8" thickBot="1">
      <c r="A151" s="4058"/>
      <c r="B151" s="4059" t="s">
        <v>681</v>
      </c>
      <c r="C151" s="4059"/>
      <c r="D151" s="4059"/>
      <c r="E151" s="4060">
        <f>E48+E75+E87+E99+E110+E122+E133+E137</f>
        <v>334814602.55000001</v>
      </c>
      <c r="F151" s="4060">
        <f t="shared" ref="F151:K151" si="163">F48+F75+F87+F99+F110+F122+F133+F137</f>
        <v>-517875.94</v>
      </c>
      <c r="G151" s="4060">
        <f t="shared" si="163"/>
        <v>334296726.61000001</v>
      </c>
      <c r="H151" s="4060">
        <f>H48+H75+H87+H99+H110+H122+H133+H137</f>
        <v>71723473.766355485</v>
      </c>
      <c r="I151" s="4061">
        <f>I48+I75+I87+I99+I110+I122+I133+I137</f>
        <v>406020200.37635553</v>
      </c>
      <c r="J151" s="4060">
        <f>J48+J75+J87+J99+J110+J122+J133+J137</f>
        <v>-14550471.290000007</v>
      </c>
      <c r="K151" s="4061">
        <f t="shared" si="163"/>
        <v>391469729.08635551</v>
      </c>
      <c r="L151" s="4059"/>
      <c r="M151" s="4062">
        <f>(I151-E151)/E151</f>
        <v>0.2126717212572051</v>
      </c>
      <c r="N151" s="4063">
        <f>(K151-E151)/E151</f>
        <v>0.16921342768463876</v>
      </c>
      <c r="P151" s="4064">
        <f>(I151-G151)/G151</f>
        <v>0.21455033225625969</v>
      </c>
      <c r="Q151" s="4342">
        <f>(K151-G151)/G151</f>
        <v>0.17102471524662918</v>
      </c>
    </row>
    <row r="152" spans="1:17" ht="13.8" thickBot="1"/>
    <row r="153" spans="1:17" hidden="1">
      <c r="B153" s="3924" t="s">
        <v>682</v>
      </c>
      <c r="C153" s="4065">
        <f>'[7]FINAL HIGHER ED RECOMMENDATION'!C33</f>
        <v>0.85</v>
      </c>
      <c r="H153" s="4066"/>
      <c r="I153" s="4067"/>
      <c r="J153" s="4066"/>
      <c r="K153" s="4068"/>
    </row>
    <row r="154" spans="1:17" hidden="1">
      <c r="H154" s="4069"/>
      <c r="I154" s="4070">
        <f>G146-I146</f>
        <v>-45861046.583555698</v>
      </c>
      <c r="J154" s="4069"/>
      <c r="K154" s="4071">
        <f>G146-K146</f>
        <v>-45861046.583555698</v>
      </c>
      <c r="L154" s="4024"/>
      <c r="M154" s="4072"/>
      <c r="P154" s="4072"/>
    </row>
    <row r="155" spans="1:17" hidden="1">
      <c r="H155" s="4069"/>
      <c r="I155" s="4070">
        <f>G148-I148</f>
        <v>-8162660.7254828215</v>
      </c>
      <c r="J155" s="4069"/>
      <c r="K155" s="4071">
        <f>G148-K148</f>
        <v>-5976801.7254828215</v>
      </c>
      <c r="M155" s="4072"/>
      <c r="P155" s="4072"/>
    </row>
    <row r="156" spans="1:17" hidden="1">
      <c r="H156" s="4069"/>
      <c r="I156" s="4070">
        <f>G150-I150</f>
        <v>-28492947.00679097</v>
      </c>
      <c r="J156" s="4069"/>
      <c r="K156" s="4071">
        <f>G150-K150</f>
        <v>-28492947.00679097</v>
      </c>
    </row>
    <row r="157" spans="1:17" ht="13.8" hidden="1" thickBot="1">
      <c r="H157" s="4073"/>
      <c r="I157" s="4074">
        <f>G151-I151</f>
        <v>-71723473.766355515</v>
      </c>
      <c r="J157" s="4073"/>
      <c r="K157" s="4075">
        <f>G151-K151</f>
        <v>-57173002.476355493</v>
      </c>
    </row>
    <row r="158" spans="1:17" ht="13.8" hidden="1" thickBot="1">
      <c r="H158" s="4076"/>
      <c r="I158" s="4077">
        <f>SUM(I154:I157)</f>
        <v>-154240128.082185</v>
      </c>
      <c r="J158" s="4076"/>
      <c r="K158" s="4078">
        <f>SUM(K154:K157)</f>
        <v>-137503797.79218498</v>
      </c>
    </row>
    <row r="159" spans="1:17" hidden="1">
      <c r="K159" s="4024"/>
    </row>
    <row r="160" spans="1:17" hidden="1">
      <c r="H160" s="4067"/>
      <c r="I160" s="4067"/>
      <c r="J160" s="4067"/>
      <c r="K160" s="4068"/>
    </row>
    <row r="161" spans="1:17" hidden="1">
      <c r="H161" s="4079"/>
      <c r="I161" s="4080">
        <f>'[8]OVERALL SUMMARY'!I125</f>
        <v>0</v>
      </c>
      <c r="J161" s="4080">
        <f>'[8]OVERALL SUMMARY'!K125</f>
        <v>1681146978.75</v>
      </c>
      <c r="K161" s="4081">
        <f>'[8]OVERALL SUMMARY'!K125</f>
        <v>1681146978.75</v>
      </c>
    </row>
    <row r="162" spans="1:17" hidden="1">
      <c r="H162" s="4035"/>
      <c r="I162" s="4082">
        <f>'[8]OVERALL SUMMARY'!I126</f>
        <v>0</v>
      </c>
      <c r="J162" s="4082">
        <f>'[8]OVERALL SUMMARY'!K126</f>
        <v>1178217024</v>
      </c>
      <c r="K162" s="4083">
        <f>'[8]OVERALL SUMMARY'!K126</f>
        <v>1178217024</v>
      </c>
    </row>
    <row r="163" spans="1:17" hidden="1">
      <c r="H163" s="4035"/>
      <c r="I163" s="4082">
        <f>'[8]OVERALL SUMMARY'!I127</f>
        <v>0</v>
      </c>
      <c r="J163" s="4082">
        <f>'[8]OVERALL SUMMARY'!K127</f>
        <v>154802228.2926856</v>
      </c>
      <c r="K163" s="4083">
        <f>'[8]OVERALL SUMMARY'!K127</f>
        <v>154802228.2926856</v>
      </c>
    </row>
    <row r="164" spans="1:17" hidden="1">
      <c r="H164" s="4035"/>
      <c r="I164" s="4082">
        <f>'[8]OVERALL SUMMARY'!I128</f>
        <v>0</v>
      </c>
      <c r="J164" s="4082">
        <f>'[8]OVERALL SUMMARY'!K128</f>
        <v>29273745.507314414</v>
      </c>
      <c r="K164" s="4083">
        <f>'[8]OVERALL SUMMARY'!K128</f>
        <v>29273745.507314414</v>
      </c>
    </row>
    <row r="165" spans="1:17" hidden="1">
      <c r="H165" s="4035"/>
      <c r="I165" s="4082">
        <f>'[8]OVERALL SUMMARY'!I129</f>
        <v>0</v>
      </c>
      <c r="J165" s="4082">
        <f>'[8]OVERALL SUMMARY'!K129</f>
        <v>318853980.94999999</v>
      </c>
      <c r="K165" s="4083">
        <f>'[8]OVERALL SUMMARY'!K129</f>
        <v>318853980.94999999</v>
      </c>
    </row>
    <row r="166" spans="1:17" hidden="1">
      <c r="H166" s="4035"/>
      <c r="I166" s="4084"/>
      <c r="J166" s="4084"/>
      <c r="K166" s="4085"/>
    </row>
    <row r="167" spans="1:17" hidden="1">
      <c r="H167" s="4079"/>
      <c r="I167" s="4086">
        <f t="shared" ref="I167:K168" si="164">I145-I161</f>
        <v>1960366448.8588147</v>
      </c>
      <c r="J167" s="4086">
        <f t="shared" si="164"/>
        <v>-1697883309.04</v>
      </c>
      <c r="K167" s="4087">
        <f t="shared" si="164"/>
        <v>262483139.81881475</v>
      </c>
    </row>
    <row r="168" spans="1:17" hidden="1">
      <c r="H168" s="4079"/>
      <c r="I168" s="4084">
        <f t="shared" si="164"/>
        <v>1261170332.8835557</v>
      </c>
      <c r="J168" s="4084">
        <f t="shared" si="164"/>
        <v>-1178217024</v>
      </c>
      <c r="K168" s="4085">
        <f t="shared" si="164"/>
        <v>82953308.883555651</v>
      </c>
    </row>
    <row r="169" spans="1:17" hidden="1">
      <c r="H169" s="4035"/>
      <c r="I169" s="4084">
        <f>I148-I163</f>
        <v>157007968.59211284</v>
      </c>
      <c r="J169" s="4084">
        <f>J148-J163</f>
        <v>-156988087.2926856</v>
      </c>
      <c r="K169" s="4085">
        <f>K148-K163</f>
        <v>19881.299427241087</v>
      </c>
    </row>
    <row r="170" spans="1:17" hidden="1">
      <c r="H170" s="4035"/>
      <c r="I170" s="4084">
        <f t="shared" ref="I170:K171" si="165">I150-I164</f>
        <v>28492947.00679097</v>
      </c>
      <c r="J170" s="4084">
        <f t="shared" si="165"/>
        <v>-29273745.507314414</v>
      </c>
      <c r="K170" s="4085">
        <f t="shared" si="165"/>
        <v>-780798.50052344427</v>
      </c>
    </row>
    <row r="171" spans="1:17" hidden="1">
      <c r="H171" s="4035"/>
      <c r="I171" s="4084">
        <f t="shared" si="165"/>
        <v>406020200.37635553</v>
      </c>
      <c r="J171" s="4084">
        <f t="shared" si="165"/>
        <v>-333404452.24000001</v>
      </c>
      <c r="K171" s="4085">
        <f t="shared" si="165"/>
        <v>72615748.136355519</v>
      </c>
    </row>
    <row r="172" spans="1:17">
      <c r="B172" s="4173" t="s">
        <v>763</v>
      </c>
      <c r="C172" s="4174"/>
      <c r="D172" s="4174"/>
      <c r="E172" s="4175">
        <f>E145</f>
        <v>1701997798.8499999</v>
      </c>
      <c r="F172" s="4175">
        <f>F145</f>
        <v>-3546478.073369999</v>
      </c>
      <c r="G172" s="4175">
        <f>G145</f>
        <v>1698451320.7766299</v>
      </c>
      <c r="H172" s="4175"/>
      <c r="I172" s="4175">
        <f>I145</f>
        <v>1960366448.8588147</v>
      </c>
      <c r="J172" s="4175"/>
      <c r="K172" s="4175">
        <f>K145</f>
        <v>1943630118.5688148</v>
      </c>
      <c r="L172" s="4176"/>
      <c r="M172" s="4177">
        <f t="shared" ref="M172:M174" si="166">(I172-E172)/E172</f>
        <v>0.15180316342558636</v>
      </c>
      <c r="N172" s="4178">
        <f t="shared" ref="N172:N174" si="167">(K172-E172)/E172</f>
        <v>0.1419698191631506</v>
      </c>
      <c r="O172" s="4177"/>
      <c r="P172" s="4177">
        <f t="shared" ref="P172:P174" si="168">(I172-G172)/G172</f>
        <v>0.15420820419064002</v>
      </c>
      <c r="Q172" s="4178">
        <f t="shared" ref="Q172:Q174" si="169">(K172-G172)/G172</f>
        <v>0.14435432725859634</v>
      </c>
    </row>
    <row r="173" spans="1:17" ht="13.8" thickBot="1">
      <c r="B173" s="4179" t="s">
        <v>764</v>
      </c>
      <c r="C173" s="4180"/>
      <c r="D173" s="4180"/>
      <c r="E173" s="4181">
        <f>'Line Item Funding'!E17+'Line Item Funding'!E18+'Line Item Funding'!E20+'Line Item Funding'!E21+'Line Item Funding'!E34+'Line Item Funding'!E35+'Line Item Funding'!E61+'Line Item Funding'!E62+'Line Item Funding'!E63+'Line Item Funding'!E64+'Line Item Funding'!E65+'Line Item Funding'!E66+'Line Item Funding'!E67+'Line Item Funding'!E94+'Line Item Funding'!E95</f>
        <v>5615134</v>
      </c>
      <c r="F173" s="4181">
        <f>'Line Item Funding'!F17+'Line Item Funding'!F18+'Line Item Funding'!F20+'Line Item Funding'!F21+'Line Item Funding'!F34+'Line Item Funding'!F35+'Line Item Funding'!F61+'Line Item Funding'!F62+'Line Item Funding'!F63+'Line Item Funding'!F64+'Line Item Funding'!F65+'Line Item Funding'!F66+'Line Item Funding'!F67+'Line Item Funding'!F94+'Line Item Funding'!F95</f>
        <v>0</v>
      </c>
      <c r="G173" s="4181">
        <f>'Line Item Funding'!G17+'Line Item Funding'!G18+'Line Item Funding'!G20+'Line Item Funding'!G21+'Line Item Funding'!G34+'Line Item Funding'!G35+'Line Item Funding'!G61+'Line Item Funding'!G62+'Line Item Funding'!G63+'Line Item Funding'!G64+'Line Item Funding'!G65+'Line Item Funding'!G66+'Line Item Funding'!G67+'Line Item Funding'!G94+'Line Item Funding'!G95</f>
        <v>5615134</v>
      </c>
      <c r="H173" s="4181"/>
      <c r="I173" s="4181">
        <f>'Line Item Funding'!H17+'Line Item Funding'!H18+'Line Item Funding'!H20+'Line Item Funding'!H21+'Line Item Funding'!H34+'Line Item Funding'!H35+'Line Item Funding'!H61+'Line Item Funding'!H62+'Line Item Funding'!H63+'Line Item Funding'!H64+'Line Item Funding'!H65+'Line Item Funding'!H66+'Line Item Funding'!H67+'Line Item Funding'!H94+'Line Item Funding'!H95</f>
        <v>5733848</v>
      </c>
      <c r="J173" s="4181"/>
      <c r="K173" s="4181">
        <f>'Line Item Funding'!I17+'Line Item Funding'!I18+'Line Item Funding'!I20+'Line Item Funding'!I21+'Line Item Funding'!I34+'Line Item Funding'!I35+'Line Item Funding'!I61+'Line Item Funding'!I62+'Line Item Funding'!I63+'Line Item Funding'!I64+'Line Item Funding'!I65+'Line Item Funding'!I66+'Line Item Funding'!I67+'Line Item Funding'!I94+'Line Item Funding'!I95</f>
        <v>5687102</v>
      </c>
      <c r="L173" s="4181"/>
      <c r="M173" s="4182">
        <f t="shared" si="166"/>
        <v>2.1141792876180694E-2</v>
      </c>
      <c r="N173" s="4183">
        <f t="shared" si="167"/>
        <v>1.281679119322887E-2</v>
      </c>
      <c r="O173" s="4182"/>
      <c r="P173" s="4182">
        <f t="shared" si="168"/>
        <v>2.1141792876180694E-2</v>
      </c>
      <c r="Q173" s="4183">
        <f t="shared" si="169"/>
        <v>1.281679119322887E-2</v>
      </c>
    </row>
    <row r="174" spans="1:17" ht="14.4" thickTop="1" thickBot="1">
      <c r="A174" s="3942"/>
      <c r="B174" s="4184" t="s">
        <v>769</v>
      </c>
      <c r="C174" s="4185"/>
      <c r="D174" s="4185"/>
      <c r="E174" s="4186">
        <f>E172+E173</f>
        <v>1707612932.8499999</v>
      </c>
      <c r="F174" s="4186">
        <f t="shared" ref="F174:K174" si="170">F172+F173</f>
        <v>-3546478.073369999</v>
      </c>
      <c r="G174" s="4186">
        <f t="shared" si="170"/>
        <v>1704066454.7766299</v>
      </c>
      <c r="H174" s="4186">
        <f>H41+H46+H50+H54+H59+H64+H69+H74+H86+H90+H94+H99+H111+H123+H134+H144+H156</f>
        <v>78942044.137459606</v>
      </c>
      <c r="I174" s="4186">
        <f t="shared" si="170"/>
        <v>1966100296.8588147</v>
      </c>
      <c r="J174" s="4186">
        <f>J41+J46+J50+J54+J59+J64+J69+J74+J86+J90+J94+J99+J111+J123+J134+J144+J156</f>
        <v>-508716</v>
      </c>
      <c r="K174" s="4186">
        <f t="shared" si="170"/>
        <v>1949317220.5688148</v>
      </c>
      <c r="L174" s="4187"/>
      <c r="M174" s="4188">
        <f t="shared" si="166"/>
        <v>0.15137351037591423</v>
      </c>
      <c r="N174" s="4189">
        <f t="shared" si="167"/>
        <v>0.14154512598789659</v>
      </c>
      <c r="O174" s="4188"/>
      <c r="P174" s="4188">
        <f t="shared" si="168"/>
        <v>0.15376973201231894</v>
      </c>
      <c r="Q174" s="4189">
        <f t="shared" si="169"/>
        <v>0.14392089293508947</v>
      </c>
    </row>
    <row r="176" spans="1:17">
      <c r="B176" s="3924" t="s">
        <v>875</v>
      </c>
      <c r="I176" s="4024"/>
      <c r="J176" s="4024"/>
      <c r="K176" s="4024"/>
    </row>
  </sheetData>
  <mergeCells count="3">
    <mergeCell ref="A1:Q1"/>
    <mergeCell ref="A2:Q2"/>
    <mergeCell ref="A3:Q3"/>
  </mergeCells>
  <printOptions horizontalCentered="1"/>
  <pageMargins left="0.25" right="0.25" top="0.75" bottom="0.75" header="0.3" footer="0.3"/>
  <pageSetup scale="65" fitToHeight="3" orientation="landscape" r:id="rId1"/>
  <headerFooter>
    <oddFooter>&amp;LHouse Ways and Means Cmte Amendment 1001 2-14-13&amp;C&amp;P&amp;R&amp;D</oddFooter>
  </headerFooter>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82"/>
  <sheetViews>
    <sheetView zoomScale="85" zoomScaleNormal="85" workbookViewId="0">
      <selection activeCell="A2" sqref="A2"/>
    </sheetView>
  </sheetViews>
  <sheetFormatPr defaultColWidth="9.109375" defaultRowHeight="13.8"/>
  <cols>
    <col min="1" max="1" width="53.44140625" style="3265" customWidth="1"/>
    <col min="2" max="2" width="2.109375" style="3265" customWidth="1"/>
    <col min="3" max="3" width="14.5546875" style="3265" bestFit="1" customWidth="1"/>
    <col min="4" max="4" width="14.5546875" style="3265" customWidth="1"/>
    <col min="5" max="6" width="13.109375" style="3265" bestFit="1" customWidth="1"/>
    <col min="7" max="7" width="16.5546875" style="3265" customWidth="1"/>
    <col min="8" max="9" width="13.44140625" style="3265" bestFit="1" customWidth="1"/>
    <col min="10" max="10" width="7" style="3265" bestFit="1" customWidth="1"/>
    <col min="11" max="11" width="4.6640625" style="3265" bestFit="1" customWidth="1"/>
    <col min="12" max="13" width="13.44140625" style="4328" hidden="1" customWidth="1"/>
    <col min="14" max="14" width="12.33203125" style="3265" bestFit="1" customWidth="1"/>
    <col min="15" max="15" width="13.44140625" style="3265" bestFit="1" customWidth="1"/>
    <col min="16" max="16384" width="9.109375" style="3265"/>
  </cols>
  <sheetData>
    <row r="1" spans="1:10">
      <c r="A1" s="3301" t="s">
        <v>621</v>
      </c>
      <c r="F1" s="4106">
        <v>5.7500000000000002E-2</v>
      </c>
      <c r="H1" s="3959" t="s">
        <v>622</v>
      </c>
    </row>
    <row r="2" spans="1:10" ht="15.6">
      <c r="A2" s="4417" t="s">
        <v>970</v>
      </c>
      <c r="B2" s="4405"/>
      <c r="C2" s="4405"/>
      <c r="D2" s="4405"/>
      <c r="E2" s="4405"/>
      <c r="H2" s="3960"/>
    </row>
    <row r="4" spans="1:10" ht="28.2" thickBot="1">
      <c r="A4" s="3961"/>
      <c r="B4" s="3291"/>
      <c r="C4" s="4190" t="s">
        <v>766</v>
      </c>
      <c r="D4" s="4190" t="s">
        <v>767</v>
      </c>
      <c r="E4" s="3962">
        <v>2014</v>
      </c>
      <c r="F4" s="3962">
        <v>2015</v>
      </c>
      <c r="G4" s="3962" t="s">
        <v>155</v>
      </c>
    </row>
    <row r="5" spans="1:10">
      <c r="A5" s="3963" t="s">
        <v>623</v>
      </c>
      <c r="C5" s="3964">
        <v>15668143</v>
      </c>
      <c r="D5" s="3964">
        <v>15649359</v>
      </c>
      <c r="E5" s="3965">
        <f>15663775+E34+SUM(E64:E68)</f>
        <v>17457668.475272149</v>
      </c>
      <c r="F5" s="3965">
        <f>15886642+F34+SUM(F64:F68)</f>
        <v>17680535.475272149</v>
      </c>
    </row>
    <row r="6" spans="1:10">
      <c r="A6" s="3966" t="s">
        <v>624</v>
      </c>
      <c r="C6" s="3964">
        <v>1399262</v>
      </c>
      <c r="D6" s="3964">
        <v>1399262</v>
      </c>
      <c r="E6" s="3965">
        <f>1400666</f>
        <v>1400666</v>
      </c>
      <c r="F6" s="3965">
        <f>1246022+(F63*P65)</f>
        <v>1246022</v>
      </c>
    </row>
    <row r="7" spans="1:10">
      <c r="A7" s="3966" t="s">
        <v>625</v>
      </c>
      <c r="C7" s="3964">
        <v>1818053</v>
      </c>
      <c r="D7" s="3964">
        <v>1688382</v>
      </c>
      <c r="E7" s="3965">
        <v>1795518</v>
      </c>
      <c r="F7" s="3965">
        <f>1577593+(F63*P66)</f>
        <v>1577593</v>
      </c>
    </row>
    <row r="8" spans="1:10">
      <c r="A8" s="3966" t="s">
        <v>626</v>
      </c>
      <c r="C8" s="3964">
        <v>2801821</v>
      </c>
      <c r="D8" s="3964">
        <v>2741831</v>
      </c>
      <c r="E8" s="3965">
        <f>2743448+E35</f>
        <v>6587505.4470117483</v>
      </c>
      <c r="F8" s="3965">
        <f>3190143+(F63*P67)+F35</f>
        <v>7034200.4470117483</v>
      </c>
    </row>
    <row r="9" spans="1:10">
      <c r="A9" s="3966" t="s">
        <v>627</v>
      </c>
      <c r="C9" s="3964">
        <v>4263860</v>
      </c>
      <c r="D9" s="3964">
        <v>4092616</v>
      </c>
      <c r="E9" s="3965">
        <v>4227071</v>
      </c>
      <c r="F9" s="3965">
        <f>3863236+(F63*P69)</f>
        <v>3863236</v>
      </c>
    </row>
    <row r="10" spans="1:10">
      <c r="A10" s="3966" t="s">
        <v>628</v>
      </c>
      <c r="C10" s="3964">
        <v>3052964</v>
      </c>
      <c r="D10" s="3964">
        <v>2968073</v>
      </c>
      <c r="E10" s="3965">
        <f>2969040+E36</f>
        <v>2969040</v>
      </c>
      <c r="F10" s="3965">
        <f>2491336+(F63*P68)+F36</f>
        <v>2491336</v>
      </c>
    </row>
    <row r="11" spans="1:10">
      <c r="A11" s="3966" t="s">
        <v>746</v>
      </c>
      <c r="C11" s="3964">
        <v>3626825</v>
      </c>
      <c r="D11" s="3964">
        <f>18586663*0.18334</f>
        <v>3407678.7944200002</v>
      </c>
      <c r="E11" s="3965">
        <f>(18597722*0.18334)+((E69+E71+E72+E73)*0.18334)+E70</f>
        <v>3409706.3514800002</v>
      </c>
      <c r="F11" s="3965">
        <f>(19017558*0.18334)+((F69+F71+F72+F73)*0.18334)+F70</f>
        <v>3486679.08372</v>
      </c>
      <c r="G11" s="3265" t="s">
        <v>868</v>
      </c>
    </row>
    <row r="12" spans="1:10">
      <c r="A12" s="3966" t="s">
        <v>485</v>
      </c>
      <c r="C12" s="3964">
        <v>15664799</v>
      </c>
      <c r="D12" s="3964">
        <f>18586663*0.81667</f>
        <v>15179170.072210001</v>
      </c>
      <c r="E12" s="3965">
        <f>(18597722*0.81666)+((E69+E71+E72+E73)*0.81666)</f>
        <v>15188015.64852</v>
      </c>
      <c r="F12" s="3965">
        <f>(19017558*0.81666)+((F69+F71+F72+F73)*0.81666)</f>
        <v>15530878.916280001</v>
      </c>
      <c r="G12" s="3265" t="s">
        <v>867</v>
      </c>
    </row>
    <row r="13" spans="1:10">
      <c r="A13" s="3966" t="s">
        <v>629</v>
      </c>
      <c r="C13" s="3964">
        <v>25273722</v>
      </c>
      <c r="D13" s="3964">
        <v>25040866</v>
      </c>
      <c r="E13" s="3965">
        <f>21336918+E40+E75</f>
        <v>21336918</v>
      </c>
      <c r="F13" s="3965">
        <f>20821980+F40+F75</f>
        <v>20821980</v>
      </c>
    </row>
    <row r="14" spans="1:10">
      <c r="A14" s="3966" t="s">
        <v>630</v>
      </c>
      <c r="C14" s="3964">
        <v>1489772</v>
      </c>
      <c r="D14" s="3964">
        <v>1478769</v>
      </c>
      <c r="E14" s="3965">
        <f>1474082+E37+E74</f>
        <v>1474082</v>
      </c>
      <c r="F14" s="3965">
        <f>1478484+F37+F74</f>
        <v>1478484</v>
      </c>
      <c r="J14" s="3471"/>
    </row>
    <row r="15" spans="1:10">
      <c r="A15" s="3966" t="s">
        <v>631</v>
      </c>
      <c r="C15" s="3964">
        <v>0</v>
      </c>
      <c r="D15" s="3964">
        <v>0</v>
      </c>
      <c r="E15" s="3965">
        <f>E38+E39</f>
        <v>2024536.922092854</v>
      </c>
      <c r="F15" s="3965">
        <f>F38+F39</f>
        <v>2024536.922092854</v>
      </c>
    </row>
    <row r="16" spans="1:10">
      <c r="A16" s="3966" t="s">
        <v>632</v>
      </c>
      <c r="C16" s="3964">
        <v>5420037</v>
      </c>
      <c r="D16" s="3964">
        <v>5379796</v>
      </c>
      <c r="E16" s="3965">
        <f>5310403+E28+E48</f>
        <v>5310403</v>
      </c>
      <c r="F16" s="3965">
        <f>5312223+F28+F48</f>
        <v>5312223</v>
      </c>
    </row>
    <row r="17" spans="1:13">
      <c r="A17" s="3966" t="s">
        <v>217</v>
      </c>
      <c r="C17" s="3964">
        <v>8906871</v>
      </c>
      <c r="D17" s="3964">
        <v>8153440</v>
      </c>
      <c r="E17" s="3965">
        <f>8146874+E29+E49+E50</f>
        <v>8531279.744701175</v>
      </c>
      <c r="F17" s="3965">
        <f>8149135+F29+F49+F50</f>
        <v>8533540.744701175</v>
      </c>
    </row>
    <row r="18" spans="1:13">
      <c r="A18" s="3966" t="s">
        <v>225</v>
      </c>
      <c r="C18" s="3964">
        <v>12134116</v>
      </c>
      <c r="D18" s="3964">
        <v>12134116</v>
      </c>
      <c r="E18" s="3965">
        <f>11064580+E76+E62</f>
        <v>11064580</v>
      </c>
      <c r="F18" s="3965">
        <f>9675961+1062181+F76+F62</f>
        <v>10738142</v>
      </c>
    </row>
    <row r="19" spans="1:13">
      <c r="A19" s="3966" t="s">
        <v>224</v>
      </c>
      <c r="C19" s="3964">
        <v>14678487</v>
      </c>
      <c r="D19" s="3964">
        <v>14016446</v>
      </c>
      <c r="E19" s="3965">
        <f>14263448+E26+E44+E45+E46+E47+E27</f>
        <v>15570427.531983994</v>
      </c>
      <c r="F19" s="3965">
        <f>12849944+647083+F26+F44+F45+F46+F47+F27</f>
        <v>14804006.531983994</v>
      </c>
      <c r="G19" s="4404" t="s">
        <v>927</v>
      </c>
    </row>
    <row r="20" spans="1:13">
      <c r="A20" s="3966" t="s">
        <v>256</v>
      </c>
      <c r="C20" s="3964">
        <v>4869491</v>
      </c>
      <c r="D20" s="3964">
        <v>4773426</v>
      </c>
      <c r="E20" s="3965">
        <f>4786137+E77+E78+E79</f>
        <v>4786137</v>
      </c>
      <c r="F20" s="3965">
        <f>4789687+F77+F78+F79</f>
        <v>4789687</v>
      </c>
    </row>
    <row r="21" spans="1:13" ht="14.4" thickBot="1">
      <c r="A21" s="3967" t="s">
        <v>633</v>
      </c>
      <c r="B21" s="3968"/>
      <c r="C21" s="3969">
        <v>30805687</v>
      </c>
      <c r="D21" s="3969">
        <v>30742077</v>
      </c>
      <c r="E21" s="3970">
        <f>SUM(E30:E33)+SUM(E51:E61)+28484353</f>
        <v>33874413.471050933</v>
      </c>
      <c r="F21" s="3970">
        <f>SUM(F30:F33)+SUM(F51:F61)+28018968</f>
        <v>33409028.471050933</v>
      </c>
      <c r="H21" s="3471"/>
      <c r="I21" s="3471"/>
      <c r="L21" s="4329">
        <f>'Debt Service 2000-2032'!P23</f>
        <v>142264034</v>
      </c>
      <c r="M21" s="4329">
        <f>'Debt Service 2000-2032'!Q23</f>
        <v>140078175</v>
      </c>
    </row>
    <row r="22" spans="1:13" ht="14.4" thickTop="1">
      <c r="C22" s="3971">
        <f>SUM(C5:C21)</f>
        <v>151873910</v>
      </c>
      <c r="D22" s="3971">
        <f>SUM(D5:D21)</f>
        <v>148845307.86663002</v>
      </c>
      <c r="E22" s="3971">
        <f>SUM(E5:E21)</f>
        <v>157007968.59211284</v>
      </c>
      <c r="F22" s="3971">
        <f>SUM(F5:F21)</f>
        <v>154822109.59211284</v>
      </c>
      <c r="G22" s="3471"/>
      <c r="L22" s="4329">
        <f>E41+E80</f>
        <v>14743933.592112854</v>
      </c>
      <c r="M22" s="4329">
        <f>F41+F80</f>
        <v>14743933.592112854</v>
      </c>
    </row>
    <row r="23" spans="1:13">
      <c r="C23" s="3971"/>
      <c r="D23" s="3971"/>
      <c r="E23" s="3972">
        <f>C22-E22</f>
        <v>-5134058.5921128392</v>
      </c>
      <c r="F23" s="3972">
        <f>C22-F22</f>
        <v>-2948199.5921128392</v>
      </c>
      <c r="G23" s="3522" t="s">
        <v>780</v>
      </c>
      <c r="L23" s="4329">
        <f>SUM(L21:L22)</f>
        <v>157007967.59211284</v>
      </c>
      <c r="M23" s="4329">
        <f>SUM(M21:M22)</f>
        <v>154822108.59211284</v>
      </c>
    </row>
    <row r="24" spans="1:13">
      <c r="A24" s="3973"/>
      <c r="B24" s="3973"/>
      <c r="C24" s="3974"/>
      <c r="D24" s="3974"/>
      <c r="E24" s="3973"/>
      <c r="F24" s="3973"/>
      <c r="G24" s="3973"/>
    </row>
    <row r="25" spans="1:13" ht="15.6">
      <c r="A25" s="3975" t="s">
        <v>687</v>
      </c>
      <c r="C25" s="4253" t="s">
        <v>778</v>
      </c>
      <c r="D25" s="4195" t="s">
        <v>779</v>
      </c>
      <c r="E25" s="4196">
        <v>2014</v>
      </c>
      <c r="F25" s="4196">
        <v>2015</v>
      </c>
      <c r="G25" s="4196" t="s">
        <v>935</v>
      </c>
    </row>
    <row r="26" spans="1:13">
      <c r="A26" s="3978" t="s">
        <v>776</v>
      </c>
      <c r="B26" s="4315">
        <v>2</v>
      </c>
      <c r="C26" s="4197">
        <v>2</v>
      </c>
      <c r="D26" s="3977">
        <v>12200000</v>
      </c>
      <c r="E26" s="3979">
        <f>IF(B26&gt;1,-PMT($F$1,20,$D26,0,0),0)</f>
        <v>1042166.6856342962</v>
      </c>
      <c r="F26" s="3979">
        <f>IF(B26&gt;1,-PMT($F$1,20,$D26,0,0),0)</f>
        <v>1042166.6856342962</v>
      </c>
    </row>
    <row r="27" spans="1:13">
      <c r="A27" s="3978" t="s">
        <v>906</v>
      </c>
      <c r="B27" s="4315">
        <v>2</v>
      </c>
      <c r="C27" s="4197"/>
      <c r="D27" s="3977">
        <v>3100000</v>
      </c>
      <c r="E27" s="3979">
        <f>IF(B27&gt;1,-PMT($F$1,20,$D27,0,0),0)</f>
        <v>264812.8463496982</v>
      </c>
      <c r="F27" s="3979">
        <f>IF(B27&gt;1,-PMT($F$1,20,$D27,0,0),0)</f>
        <v>264812.8463496982</v>
      </c>
      <c r="H27" s="3265" t="s">
        <v>907</v>
      </c>
    </row>
    <row r="28" spans="1:13">
      <c r="A28" s="3978" t="s">
        <v>742</v>
      </c>
      <c r="B28" s="4315">
        <v>1</v>
      </c>
      <c r="C28" s="4197" t="s">
        <v>781</v>
      </c>
      <c r="D28" s="3977">
        <v>10000000</v>
      </c>
      <c r="E28" s="3979">
        <f t="shared" ref="E28:E40" si="0">IF(B28&gt;1,-PMT($F$1,20,$D28,0,0),0)</f>
        <v>0</v>
      </c>
      <c r="F28" s="3979">
        <f t="shared" ref="F28:F40" si="1">IF(B28&gt;1,-PMT($F$1,20,$D28,0,0),0)</f>
        <v>0</v>
      </c>
      <c r="H28" s="3265" t="s">
        <v>777</v>
      </c>
    </row>
    <row r="29" spans="1:13">
      <c r="A29" s="3976" t="s">
        <v>710</v>
      </c>
      <c r="B29" s="4315">
        <v>2</v>
      </c>
      <c r="C29" s="4197">
        <v>2</v>
      </c>
      <c r="D29" s="3977">
        <v>4500000</v>
      </c>
      <c r="E29" s="3979">
        <f t="shared" si="0"/>
        <v>384405.74470117484</v>
      </c>
      <c r="F29" s="3977">
        <f t="shared" si="1"/>
        <v>384405.74470117484</v>
      </c>
    </row>
    <row r="30" spans="1:13">
      <c r="A30" s="3976" t="s">
        <v>634</v>
      </c>
      <c r="B30" s="4315">
        <v>2</v>
      </c>
      <c r="C30" s="4197">
        <v>2</v>
      </c>
      <c r="D30" s="3977">
        <v>20000000</v>
      </c>
      <c r="E30" s="3979">
        <f t="shared" si="0"/>
        <v>1708469.9764496658</v>
      </c>
      <c r="F30" s="3979">
        <f t="shared" si="1"/>
        <v>1708469.9764496658</v>
      </c>
      <c r="H30" s="3265" t="s">
        <v>905</v>
      </c>
    </row>
    <row r="31" spans="1:13">
      <c r="A31" s="3976" t="s">
        <v>635</v>
      </c>
      <c r="B31" s="4315">
        <v>2</v>
      </c>
      <c r="C31" s="4197">
        <v>3</v>
      </c>
      <c r="D31" s="3977">
        <v>20000000</v>
      </c>
      <c r="E31" s="3979">
        <f t="shared" si="0"/>
        <v>1708469.9764496658</v>
      </c>
      <c r="F31" s="3979">
        <f t="shared" si="1"/>
        <v>1708469.9764496658</v>
      </c>
      <c r="H31" s="3265" t="s">
        <v>762</v>
      </c>
    </row>
    <row r="32" spans="1:13">
      <c r="A32" s="3978" t="s">
        <v>636</v>
      </c>
      <c r="B32" s="4315">
        <v>1</v>
      </c>
      <c r="C32" s="4197">
        <v>4</v>
      </c>
      <c r="D32" s="3977">
        <v>17000000</v>
      </c>
      <c r="E32" s="3979">
        <f t="shared" si="0"/>
        <v>0</v>
      </c>
      <c r="F32" s="3979">
        <f t="shared" si="1"/>
        <v>0</v>
      </c>
      <c r="H32" s="3265" t="s">
        <v>934</v>
      </c>
    </row>
    <row r="33" spans="1:8">
      <c r="A33" s="3976" t="s">
        <v>723</v>
      </c>
      <c r="B33" s="4315">
        <v>2</v>
      </c>
      <c r="C33" s="4197">
        <v>1</v>
      </c>
      <c r="D33" s="3977">
        <v>23098100</v>
      </c>
      <c r="E33" s="3979">
        <f t="shared" si="0"/>
        <v>1973120.5181516015</v>
      </c>
      <c r="F33" s="3979">
        <f t="shared" si="1"/>
        <v>1973120.5181516015</v>
      </c>
    </row>
    <row r="34" spans="1:8">
      <c r="A34" s="3978" t="s">
        <v>750</v>
      </c>
      <c r="B34" s="4315">
        <v>2</v>
      </c>
      <c r="C34" s="4197">
        <v>1</v>
      </c>
      <c r="D34" s="3977">
        <v>21000000</v>
      </c>
      <c r="E34" s="3979">
        <f t="shared" si="0"/>
        <v>1793893.4752721491</v>
      </c>
      <c r="F34" s="3979">
        <f t="shared" si="1"/>
        <v>1793893.4752721491</v>
      </c>
      <c r="H34" s="3265" t="s">
        <v>864</v>
      </c>
    </row>
    <row r="35" spans="1:8">
      <c r="A35" s="3978" t="s">
        <v>756</v>
      </c>
      <c r="B35" s="4315">
        <v>2</v>
      </c>
      <c r="C35" s="4197">
        <v>2</v>
      </c>
      <c r="D35" s="3977">
        <f>28000000+17000000</f>
        <v>45000000</v>
      </c>
      <c r="E35" s="3979">
        <f>IF(B35&gt;1,-PMT($F$1,20,$D35,0,0),0)</f>
        <v>3844057.4470117483</v>
      </c>
      <c r="F35" s="3979">
        <f t="shared" si="1"/>
        <v>3844057.4470117483</v>
      </c>
      <c r="H35" s="3265" t="s">
        <v>933</v>
      </c>
    </row>
    <row r="36" spans="1:8">
      <c r="A36" s="3978" t="s">
        <v>757</v>
      </c>
      <c r="B36" s="4315">
        <v>1</v>
      </c>
      <c r="C36" s="3295">
        <v>3</v>
      </c>
      <c r="D36" s="3977">
        <v>22000000</v>
      </c>
      <c r="E36" s="3979">
        <f t="shared" si="0"/>
        <v>0</v>
      </c>
      <c r="F36" s="3979">
        <f t="shared" si="1"/>
        <v>0</v>
      </c>
    </row>
    <row r="37" spans="1:8">
      <c r="A37" s="3978" t="s">
        <v>740</v>
      </c>
      <c r="B37" s="4315">
        <v>1</v>
      </c>
      <c r="C37" s="3295">
        <v>3</v>
      </c>
      <c r="D37" s="3977">
        <v>2400000</v>
      </c>
      <c r="E37" s="3979">
        <f t="shared" si="0"/>
        <v>0</v>
      </c>
      <c r="F37" s="3979">
        <f t="shared" si="1"/>
        <v>0</v>
      </c>
    </row>
    <row r="38" spans="1:8">
      <c r="A38" s="3978" t="s">
        <v>744</v>
      </c>
      <c r="B38" s="4315">
        <v>2</v>
      </c>
      <c r="C38" s="3295">
        <v>2</v>
      </c>
      <c r="D38" s="3977">
        <v>23700000</v>
      </c>
      <c r="E38" s="3979">
        <f t="shared" si="0"/>
        <v>2024536.922092854</v>
      </c>
      <c r="F38" s="3979">
        <f t="shared" si="1"/>
        <v>2024536.922092854</v>
      </c>
      <c r="H38" s="3265" t="s">
        <v>945</v>
      </c>
    </row>
    <row r="39" spans="1:8">
      <c r="A39" s="3978" t="s">
        <v>745</v>
      </c>
      <c r="B39" s="4315">
        <v>1</v>
      </c>
      <c r="C39" s="3295">
        <v>2</v>
      </c>
      <c r="D39" s="3977">
        <v>1000000</v>
      </c>
      <c r="E39" s="3979">
        <f t="shared" si="0"/>
        <v>0</v>
      </c>
      <c r="F39" s="3979">
        <f t="shared" si="1"/>
        <v>0</v>
      </c>
    </row>
    <row r="40" spans="1:8" ht="14.4" thickBot="1">
      <c r="A40" s="3980" t="s">
        <v>738</v>
      </c>
      <c r="B40" s="3981">
        <v>1</v>
      </c>
      <c r="C40" s="3890">
        <v>6</v>
      </c>
      <c r="D40" s="3982">
        <v>30000000</v>
      </c>
      <c r="E40" s="3982">
        <f t="shared" si="0"/>
        <v>0</v>
      </c>
      <c r="F40" s="3982">
        <f t="shared" si="1"/>
        <v>0</v>
      </c>
      <c r="G40" s="3968"/>
    </row>
    <row r="41" spans="1:8" ht="14.4" thickTop="1">
      <c r="C41" s="3295"/>
      <c r="D41" s="3983">
        <f>SUM(D26:D40)</f>
        <v>254998100</v>
      </c>
      <c r="E41" s="3983">
        <f>SUM(E26:E40)</f>
        <v>14743933.592112854</v>
      </c>
      <c r="F41" s="3983">
        <f>SUM(F26:F40)</f>
        <v>14743933.592112854</v>
      </c>
      <c r="G41" s="3983">
        <f>SUM(G26:G40)</f>
        <v>0</v>
      </c>
    </row>
    <row r="42" spans="1:8">
      <c r="A42" s="3973"/>
      <c r="B42" s="3973"/>
      <c r="C42" s="4198"/>
      <c r="D42" s="3974"/>
      <c r="E42" s="3974"/>
      <c r="F42" s="3974"/>
      <c r="G42" s="3973"/>
    </row>
    <row r="43" spans="1:8" ht="15.6">
      <c r="A43" s="3301" t="s">
        <v>686</v>
      </c>
      <c r="C43" s="4195" t="s">
        <v>778</v>
      </c>
      <c r="D43" s="4195" t="s">
        <v>779</v>
      </c>
      <c r="E43" s="4196">
        <v>2014</v>
      </c>
      <c r="F43" s="4196">
        <v>2015</v>
      </c>
      <c r="G43" s="4196" t="s">
        <v>935</v>
      </c>
    </row>
    <row r="44" spans="1:8">
      <c r="A44" s="3978" t="s">
        <v>734</v>
      </c>
      <c r="B44" s="4257">
        <v>1</v>
      </c>
      <c r="C44" s="4197">
        <v>4</v>
      </c>
      <c r="D44" s="3977">
        <v>24000000</v>
      </c>
      <c r="E44" s="3979">
        <v>0</v>
      </c>
      <c r="F44" s="3979">
        <f t="shared" ref="F44:F79" si="2">IF(B44&gt;1,-PMT($F$1,20,$D44,0,0),0)</f>
        <v>0</v>
      </c>
      <c r="H44" s="3295"/>
    </row>
    <row r="45" spans="1:8">
      <c r="A45" s="3978" t="s">
        <v>735</v>
      </c>
      <c r="B45" s="4257">
        <v>1</v>
      </c>
      <c r="C45" s="4197">
        <v>5</v>
      </c>
      <c r="D45" s="3977">
        <v>10900000</v>
      </c>
      <c r="E45" s="3979">
        <v>0</v>
      </c>
      <c r="F45" s="3979">
        <f t="shared" si="2"/>
        <v>0</v>
      </c>
      <c r="H45" s="3295"/>
    </row>
    <row r="46" spans="1:8">
      <c r="A46" s="4407" t="s">
        <v>733</v>
      </c>
      <c r="B46" s="4408">
        <v>1</v>
      </c>
      <c r="C46" s="4409">
        <v>1</v>
      </c>
      <c r="D46" s="4410">
        <f>33300000-3300000</f>
        <v>30000000</v>
      </c>
      <c r="E46" s="4411">
        <v>0</v>
      </c>
      <c r="F46" s="4411">
        <f t="shared" si="2"/>
        <v>0</v>
      </c>
      <c r="G46" s="3471">
        <f>D46</f>
        <v>30000000</v>
      </c>
      <c r="H46" s="3265" t="s">
        <v>888</v>
      </c>
    </row>
    <row r="47" spans="1:8">
      <c r="A47" s="3978" t="s">
        <v>775</v>
      </c>
      <c r="B47" s="4257">
        <v>1</v>
      </c>
      <c r="C47" s="4197">
        <v>3</v>
      </c>
      <c r="D47" s="3977">
        <v>11000000</v>
      </c>
      <c r="E47" s="3979">
        <v>0</v>
      </c>
      <c r="F47" s="3979">
        <f t="shared" si="2"/>
        <v>0</v>
      </c>
    </row>
    <row r="48" spans="1:8">
      <c r="A48" s="4407" t="s">
        <v>743</v>
      </c>
      <c r="B48" s="4408">
        <v>1</v>
      </c>
      <c r="C48" s="4409">
        <v>4</v>
      </c>
      <c r="D48" s="4410">
        <f>42700000/2</f>
        <v>21350000</v>
      </c>
      <c r="E48" s="4411">
        <v>0</v>
      </c>
      <c r="F48" s="4411">
        <f t="shared" si="2"/>
        <v>0</v>
      </c>
      <c r="G48" s="3471">
        <f>D48</f>
        <v>21350000</v>
      </c>
      <c r="H48" s="3265" t="s">
        <v>903</v>
      </c>
    </row>
    <row r="49" spans="1:8">
      <c r="A49" s="3984" t="s">
        <v>712</v>
      </c>
      <c r="B49" s="4257">
        <v>1</v>
      </c>
      <c r="C49" s="3295">
        <v>3</v>
      </c>
      <c r="D49" s="3965">
        <v>43000000</v>
      </c>
      <c r="E49" s="3979">
        <v>0</v>
      </c>
      <c r="F49" s="3979">
        <f t="shared" si="2"/>
        <v>0</v>
      </c>
    </row>
    <row r="50" spans="1:8">
      <c r="A50" s="4407" t="s">
        <v>711</v>
      </c>
      <c r="B50" s="4408">
        <v>1</v>
      </c>
      <c r="C50" s="4409">
        <v>1</v>
      </c>
      <c r="D50" s="4410">
        <v>16000000</v>
      </c>
      <c r="E50" s="4410">
        <v>0</v>
      </c>
      <c r="F50" s="4410">
        <f t="shared" si="2"/>
        <v>0</v>
      </c>
      <c r="G50" s="3471">
        <f>D50</f>
        <v>16000000</v>
      </c>
    </row>
    <row r="51" spans="1:8">
      <c r="A51" s="3984" t="s">
        <v>725</v>
      </c>
      <c r="B51" s="4257">
        <v>1</v>
      </c>
      <c r="C51" s="3295">
        <v>7</v>
      </c>
      <c r="D51" s="3965">
        <v>25000000</v>
      </c>
      <c r="E51" s="3979">
        <v>0</v>
      </c>
      <c r="F51" s="3979">
        <f t="shared" si="2"/>
        <v>0</v>
      </c>
    </row>
    <row r="52" spans="1:8">
      <c r="A52" s="3984" t="s">
        <v>730</v>
      </c>
      <c r="B52" s="4257">
        <v>1</v>
      </c>
      <c r="C52" s="3295">
        <v>12</v>
      </c>
      <c r="D52" s="3965">
        <v>25000000</v>
      </c>
      <c r="E52" s="3979">
        <v>0</v>
      </c>
      <c r="F52" s="3979">
        <f t="shared" si="2"/>
        <v>0</v>
      </c>
    </row>
    <row r="53" spans="1:8">
      <c r="A53" s="3984" t="s">
        <v>724</v>
      </c>
      <c r="B53" s="4257">
        <v>1</v>
      </c>
      <c r="C53" s="3295">
        <v>8</v>
      </c>
      <c r="D53" s="3965">
        <v>11100000</v>
      </c>
      <c r="E53" s="3979">
        <v>0</v>
      </c>
      <c r="F53" s="3979">
        <f t="shared" si="2"/>
        <v>0</v>
      </c>
    </row>
    <row r="54" spans="1:8">
      <c r="A54" s="3984" t="s">
        <v>731</v>
      </c>
      <c r="B54" s="4257">
        <v>1</v>
      </c>
      <c r="C54" s="3295">
        <v>13</v>
      </c>
      <c r="D54" s="3965">
        <v>25000000</v>
      </c>
      <c r="E54" s="3979">
        <v>0</v>
      </c>
      <c r="F54" s="3979">
        <f t="shared" si="2"/>
        <v>0</v>
      </c>
    </row>
    <row r="55" spans="1:8">
      <c r="A55" s="3984" t="s">
        <v>726</v>
      </c>
      <c r="B55" s="4257">
        <v>1</v>
      </c>
      <c r="C55" s="3295">
        <v>6</v>
      </c>
      <c r="D55" s="3965">
        <v>25000000</v>
      </c>
      <c r="E55" s="3979">
        <v>0</v>
      </c>
      <c r="F55" s="3979">
        <f t="shared" si="2"/>
        <v>0</v>
      </c>
    </row>
    <row r="56" spans="1:8">
      <c r="A56" s="3984" t="s">
        <v>728</v>
      </c>
      <c r="B56" s="4257">
        <v>1</v>
      </c>
      <c r="C56" s="3295">
        <v>10</v>
      </c>
      <c r="D56" s="3965">
        <v>25000000</v>
      </c>
      <c r="E56" s="3979">
        <v>0</v>
      </c>
      <c r="F56" s="3979">
        <f t="shared" si="2"/>
        <v>0</v>
      </c>
    </row>
    <row r="57" spans="1:8">
      <c r="A57" s="3984" t="s">
        <v>732</v>
      </c>
      <c r="B57" s="4257">
        <v>1</v>
      </c>
      <c r="C57" s="3295">
        <v>14</v>
      </c>
      <c r="D57" s="3965">
        <v>14200000</v>
      </c>
      <c r="E57" s="3979">
        <v>0</v>
      </c>
      <c r="F57" s="3979">
        <f t="shared" si="2"/>
        <v>0</v>
      </c>
    </row>
    <row r="58" spans="1:8">
      <c r="A58" s="3978" t="s">
        <v>727</v>
      </c>
      <c r="B58" s="4257">
        <v>1</v>
      </c>
      <c r="C58" s="4197">
        <v>5</v>
      </c>
      <c r="D58" s="3977">
        <v>25000000</v>
      </c>
      <c r="E58" s="3979">
        <v>0</v>
      </c>
      <c r="F58" s="3979">
        <f t="shared" si="2"/>
        <v>0</v>
      </c>
    </row>
    <row r="59" spans="1:8">
      <c r="A59" s="3984" t="s">
        <v>729</v>
      </c>
      <c r="B59" s="4257">
        <v>1</v>
      </c>
      <c r="C59" s="3295">
        <v>11</v>
      </c>
      <c r="D59" s="3965">
        <v>21000000</v>
      </c>
      <c r="E59" s="3979">
        <v>0</v>
      </c>
      <c r="F59" s="3979">
        <f t="shared" si="2"/>
        <v>0</v>
      </c>
    </row>
    <row r="60" spans="1:8">
      <c r="A60" s="3984" t="s">
        <v>774</v>
      </c>
      <c r="B60" s="4257">
        <v>1</v>
      </c>
      <c r="C60" s="3295">
        <v>9</v>
      </c>
      <c r="D60" s="3965">
        <v>25000000</v>
      </c>
      <c r="E60" s="3979">
        <v>0</v>
      </c>
      <c r="F60" s="3979">
        <f t="shared" si="2"/>
        <v>0</v>
      </c>
    </row>
    <row r="61" spans="1:8">
      <c r="A61" s="4407" t="s">
        <v>946</v>
      </c>
      <c r="B61" s="4408">
        <v>1</v>
      </c>
      <c r="C61" s="4409" t="s">
        <v>953</v>
      </c>
      <c r="D61" s="4410">
        <v>12000000</v>
      </c>
      <c r="E61" s="4411">
        <v>0</v>
      </c>
      <c r="F61" s="4411">
        <f t="shared" ref="F61" si="3">IF(B61&gt;1,-PMT($F$1,20,$D61,0,0),0)</f>
        <v>0</v>
      </c>
      <c r="G61" s="4328">
        <v>12000000</v>
      </c>
    </row>
    <row r="62" spans="1:8">
      <c r="A62" s="4407" t="s">
        <v>959</v>
      </c>
      <c r="B62" s="4408">
        <v>1</v>
      </c>
      <c r="C62" s="4409" t="s">
        <v>932</v>
      </c>
      <c r="D62" s="4410">
        <v>2000000</v>
      </c>
      <c r="E62" s="4410">
        <v>0</v>
      </c>
      <c r="F62" s="4411">
        <f>IF(B62&gt;1,-PMT($F$1,20,$D62,0,0),0)</f>
        <v>0</v>
      </c>
      <c r="G62" s="3471">
        <f>D62</f>
        <v>2000000</v>
      </c>
      <c r="H62" s="3522"/>
    </row>
    <row r="63" spans="1:8">
      <c r="A63" s="4407" t="s">
        <v>773</v>
      </c>
      <c r="B63" s="4408">
        <v>1</v>
      </c>
      <c r="C63" s="4409">
        <v>7</v>
      </c>
      <c r="D63" s="4410">
        <v>29000000</v>
      </c>
      <c r="E63" s="4411">
        <v>0</v>
      </c>
      <c r="F63" s="4411">
        <f t="shared" si="2"/>
        <v>0</v>
      </c>
      <c r="G63" s="3471">
        <f>D63</f>
        <v>29000000</v>
      </c>
    </row>
    <row r="64" spans="1:8" ht="14.4" thickBot="1">
      <c r="A64" s="3984" t="s">
        <v>751</v>
      </c>
      <c r="B64" s="4257">
        <v>1</v>
      </c>
      <c r="C64" s="3295">
        <v>9</v>
      </c>
      <c r="D64" s="3965">
        <v>34000000</v>
      </c>
      <c r="E64" s="3979">
        <v>0</v>
      </c>
      <c r="F64" s="3979">
        <f t="shared" si="2"/>
        <v>0</v>
      </c>
    </row>
    <row r="65" spans="1:17">
      <c r="A65" s="3984" t="s">
        <v>753</v>
      </c>
      <c r="B65" s="4257">
        <v>1</v>
      </c>
      <c r="C65" s="3295">
        <v>12</v>
      </c>
      <c r="D65" s="3965">
        <v>10000000</v>
      </c>
      <c r="E65" s="3979">
        <v>0</v>
      </c>
      <c r="F65" s="3979">
        <f t="shared" si="2"/>
        <v>0</v>
      </c>
      <c r="N65" s="4258">
        <v>800000</v>
      </c>
      <c r="O65" s="4259">
        <f>-PMT(0.0575,20,N65,0,0)</f>
        <v>68338.799057986631</v>
      </c>
      <c r="P65" s="4260">
        <f>O65/$O$70</f>
        <v>2.758620689655172E-2</v>
      </c>
      <c r="Q65" s="3272" t="s">
        <v>265</v>
      </c>
    </row>
    <row r="66" spans="1:17">
      <c r="A66" s="3984" t="s">
        <v>755</v>
      </c>
      <c r="B66" s="4257">
        <v>1</v>
      </c>
      <c r="C66" s="3295">
        <v>8</v>
      </c>
      <c r="D66" s="3965">
        <v>32400000</v>
      </c>
      <c r="E66" s="3979">
        <v>0</v>
      </c>
      <c r="F66" s="3979">
        <f t="shared" si="2"/>
        <v>0</v>
      </c>
      <c r="N66" s="4261">
        <v>8910000</v>
      </c>
      <c r="O66" s="4262">
        <f t="shared" ref="O66:O69" si="4">-PMT(0.0575,20,N66,0,0)</f>
        <v>761123.37450832617</v>
      </c>
      <c r="P66" s="3477">
        <f>O66/$O$70</f>
        <v>0.30724137931034484</v>
      </c>
      <c r="Q66" s="3274" t="s">
        <v>264</v>
      </c>
    </row>
    <row r="67" spans="1:17">
      <c r="A67" s="3984" t="s">
        <v>754</v>
      </c>
      <c r="B67" s="4257">
        <v>1</v>
      </c>
      <c r="C67" s="3295">
        <v>5</v>
      </c>
      <c r="D67" s="3965">
        <v>15000000</v>
      </c>
      <c r="E67" s="3979">
        <v>0</v>
      </c>
      <c r="F67" s="3979">
        <f t="shared" si="2"/>
        <v>0</v>
      </c>
      <c r="N67" s="4261">
        <v>2750000</v>
      </c>
      <c r="O67" s="4262">
        <f t="shared" si="4"/>
        <v>234914.62176182907</v>
      </c>
      <c r="P67" s="3477">
        <f>O67/$O$70</f>
        <v>9.4827586206896547E-2</v>
      </c>
      <c r="Q67" s="3274" t="s">
        <v>266</v>
      </c>
    </row>
    <row r="68" spans="1:17">
      <c r="A68" s="3984" t="s">
        <v>752</v>
      </c>
      <c r="B68" s="4257">
        <v>1</v>
      </c>
      <c r="C68" s="3295">
        <v>10</v>
      </c>
      <c r="D68" s="3965">
        <v>30000000</v>
      </c>
      <c r="E68" s="3979">
        <v>0</v>
      </c>
      <c r="F68" s="3979">
        <f t="shared" si="2"/>
        <v>0</v>
      </c>
      <c r="N68" s="4261">
        <v>5440000</v>
      </c>
      <c r="O68" s="4262">
        <f t="shared" si="4"/>
        <v>464703.83359430911</v>
      </c>
      <c r="P68" s="3477">
        <f>O68/$O$70</f>
        <v>0.1875862068965517</v>
      </c>
      <c r="Q68" s="3274" t="s">
        <v>268</v>
      </c>
    </row>
    <row r="69" spans="1:17" ht="14.4" thickBot="1">
      <c r="A69" s="3984" t="s">
        <v>759</v>
      </c>
      <c r="B69" s="4257">
        <v>1</v>
      </c>
      <c r="C69" s="3295">
        <v>13</v>
      </c>
      <c r="D69" s="3965">
        <v>9600000</v>
      </c>
      <c r="E69" s="3979">
        <v>0</v>
      </c>
      <c r="F69" s="3979">
        <f t="shared" si="2"/>
        <v>0</v>
      </c>
      <c r="N69" s="4265">
        <v>11100000</v>
      </c>
      <c r="O69" s="4266">
        <f t="shared" si="4"/>
        <v>948200.8369295646</v>
      </c>
      <c r="P69" s="4267">
        <f>O69/$O$70</f>
        <v>0.38275862068965516</v>
      </c>
      <c r="Q69" s="4268" t="s">
        <v>267</v>
      </c>
    </row>
    <row r="70" spans="1:17" ht="15" thickTop="1" thickBot="1">
      <c r="A70" s="4407" t="s">
        <v>904</v>
      </c>
      <c r="B70" s="4408">
        <v>1</v>
      </c>
      <c r="C70" s="4409">
        <v>4</v>
      </c>
      <c r="D70" s="4410">
        <v>25000000</v>
      </c>
      <c r="E70" s="4411">
        <v>0</v>
      </c>
      <c r="F70" s="4411">
        <f t="shared" si="2"/>
        <v>0</v>
      </c>
      <c r="G70" s="3471">
        <f>D70</f>
        <v>25000000</v>
      </c>
      <c r="H70" s="3265" t="s">
        <v>866</v>
      </c>
      <c r="N70" s="4263">
        <f>SUM(N65:N69)</f>
        <v>29000000</v>
      </c>
      <c r="O70" s="4264">
        <f>SUM(O65:O69)</f>
        <v>2477281.4658520157</v>
      </c>
      <c r="P70" s="3291"/>
      <c r="Q70" s="3444"/>
    </row>
    <row r="71" spans="1:17">
      <c r="A71" s="3984" t="s">
        <v>761</v>
      </c>
      <c r="B71" s="4257">
        <v>1</v>
      </c>
      <c r="C71" s="3295">
        <v>6</v>
      </c>
      <c r="D71" s="3965">
        <v>22000000</v>
      </c>
      <c r="E71" s="3979">
        <v>0</v>
      </c>
      <c r="F71" s="3979">
        <f t="shared" si="2"/>
        <v>0</v>
      </c>
    </row>
    <row r="72" spans="1:17">
      <c r="A72" s="3984" t="s">
        <v>760</v>
      </c>
      <c r="B72" s="4257">
        <v>1</v>
      </c>
      <c r="C72" s="3295">
        <v>14</v>
      </c>
      <c r="D72" s="3965">
        <v>6400000</v>
      </c>
      <c r="E72" s="3979">
        <v>0</v>
      </c>
      <c r="F72" s="3979">
        <f t="shared" si="2"/>
        <v>0</v>
      </c>
    </row>
    <row r="73" spans="1:17">
      <c r="A73" s="3984" t="s">
        <v>758</v>
      </c>
      <c r="B73" s="4257">
        <v>1</v>
      </c>
      <c r="C73" s="3295">
        <v>11</v>
      </c>
      <c r="D73" s="3965">
        <v>22000000</v>
      </c>
      <c r="E73" s="3979">
        <v>0</v>
      </c>
      <c r="F73" s="3979">
        <f>IF(B73&gt;1,-PMT($F$1,20,$D73,0,0),0)</f>
        <v>0</v>
      </c>
    </row>
    <row r="74" spans="1:17">
      <c r="A74" s="3984" t="s">
        <v>741</v>
      </c>
      <c r="B74" s="4257">
        <v>1</v>
      </c>
      <c r="C74" s="3295">
        <v>3</v>
      </c>
      <c r="D74" s="3965">
        <v>35000000</v>
      </c>
      <c r="E74" s="3979">
        <v>0</v>
      </c>
      <c r="F74" s="3979">
        <f t="shared" si="2"/>
        <v>0</v>
      </c>
    </row>
    <row r="75" spans="1:17">
      <c r="A75" s="4407" t="s">
        <v>739</v>
      </c>
      <c r="B75" s="4408">
        <v>1</v>
      </c>
      <c r="C75" s="4409">
        <v>1</v>
      </c>
      <c r="D75" s="4410">
        <f>60000000-10000000</f>
        <v>50000000</v>
      </c>
      <c r="E75" s="4411">
        <v>0</v>
      </c>
      <c r="F75" s="4411">
        <f t="shared" si="2"/>
        <v>0</v>
      </c>
      <c r="G75" s="3471">
        <f t="shared" ref="G75:G77" si="5">D75</f>
        <v>50000000</v>
      </c>
      <c r="H75" s="3265" t="s">
        <v>889</v>
      </c>
    </row>
    <row r="76" spans="1:17">
      <c r="A76" s="4407" t="s">
        <v>688</v>
      </c>
      <c r="B76" s="4408">
        <v>1</v>
      </c>
      <c r="C76" s="4409">
        <v>1</v>
      </c>
      <c r="D76" s="4410">
        <v>18000000</v>
      </c>
      <c r="E76" s="4410">
        <v>0</v>
      </c>
      <c r="F76" s="4411">
        <f t="shared" si="2"/>
        <v>0</v>
      </c>
      <c r="G76" s="3471">
        <f t="shared" si="5"/>
        <v>18000000</v>
      </c>
      <c r="H76" s="3522"/>
    </row>
    <row r="77" spans="1:17">
      <c r="A77" s="4407" t="s">
        <v>715</v>
      </c>
      <c r="B77" s="4408">
        <v>1</v>
      </c>
      <c r="C77" s="4409">
        <v>2</v>
      </c>
      <c r="D77" s="4410">
        <v>6000000</v>
      </c>
      <c r="E77" s="4411">
        <v>0</v>
      </c>
      <c r="F77" s="4411">
        <f t="shared" si="2"/>
        <v>0</v>
      </c>
      <c r="G77" s="3471">
        <f t="shared" si="5"/>
        <v>6000000</v>
      </c>
      <c r="H77" s="3295"/>
    </row>
    <row r="78" spans="1:17">
      <c r="A78" s="4407" t="s">
        <v>716</v>
      </c>
      <c r="B78" s="4408">
        <v>1</v>
      </c>
      <c r="C78" s="4409">
        <v>3</v>
      </c>
      <c r="D78" s="4410">
        <v>8000000</v>
      </c>
      <c r="E78" s="4411">
        <v>0</v>
      </c>
      <c r="F78" s="4411">
        <f t="shared" si="2"/>
        <v>0</v>
      </c>
      <c r="G78" s="4328">
        <v>6000000</v>
      </c>
      <c r="H78" s="3295"/>
    </row>
    <row r="79" spans="1:17" ht="14.4" thickBot="1">
      <c r="A79" s="3980" t="s">
        <v>717</v>
      </c>
      <c r="B79" s="4254">
        <v>1</v>
      </c>
      <c r="C79" s="4254">
        <v>4</v>
      </c>
      <c r="D79" s="3982">
        <v>15000000</v>
      </c>
      <c r="E79" s="3982">
        <v>0</v>
      </c>
      <c r="F79" s="3982">
        <f t="shared" si="2"/>
        <v>0</v>
      </c>
      <c r="G79" s="3968"/>
      <c r="H79" s="3295"/>
    </row>
    <row r="80" spans="1:17" ht="14.4" thickTop="1">
      <c r="D80" s="3983">
        <f>SUM(D44:D79)</f>
        <v>758950000</v>
      </c>
      <c r="E80" s="3983">
        <f>SUM(E44:E79)</f>
        <v>0</v>
      </c>
      <c r="F80" s="3983">
        <f>SUM(F44:F79)</f>
        <v>0</v>
      </c>
      <c r="G80" s="3983">
        <f>SUM(G44:G79)</f>
        <v>215350000</v>
      </c>
    </row>
    <row r="82" spans="1:1">
      <c r="A82" s="3265" t="s">
        <v>860</v>
      </c>
    </row>
  </sheetData>
  <sortState ref="A43:G76">
    <sortCondition ref="A43:A76"/>
  </sortState>
  <pageMargins left="0.22" right="0.24" top="0.28999999999999998" bottom="0.42" header="0.17" footer="0.17"/>
  <pageSetup scale="82" fitToHeight="2" orientation="landscape" r:id="rId1"/>
  <headerFooter>
    <oddFooter>&amp;LHouse Ways and Means Cmte Amendment 1001 2-14-13&amp;R&amp;D</oddFooter>
  </headerFooter>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86"/>
  <sheetViews>
    <sheetView zoomScaleNormal="100" workbookViewId="0"/>
  </sheetViews>
  <sheetFormatPr defaultColWidth="9.109375" defaultRowHeight="13.8"/>
  <cols>
    <col min="1" max="1" width="7.6640625" style="3985" customWidth="1"/>
    <col min="2" max="9" width="13.109375" style="3986" customWidth="1"/>
    <col min="10" max="10" width="13.109375" style="3986" bestFit="1" customWidth="1"/>
    <col min="11" max="11" width="15.44140625" style="3986" customWidth="1"/>
    <col min="12" max="12" width="13.88671875" style="3986" customWidth="1"/>
    <col min="13" max="13" width="13.109375" style="3986" bestFit="1" customWidth="1"/>
    <col min="14" max="14" width="14.88671875" style="3986" customWidth="1"/>
    <col min="15" max="15" width="13.109375" style="3986" bestFit="1" customWidth="1"/>
    <col min="16" max="16" width="13.5546875" style="3986" bestFit="1" customWidth="1"/>
    <col min="17" max="32" width="13.109375" style="3986" bestFit="1" customWidth="1"/>
    <col min="33" max="33" width="13.6640625" style="3986" bestFit="1" customWidth="1"/>
    <col min="34" max="35" width="13.5546875" style="3986" bestFit="1" customWidth="1"/>
    <col min="36" max="36" width="12.109375" style="3986" bestFit="1" customWidth="1"/>
    <col min="37" max="16384" width="9.109375" style="3986"/>
  </cols>
  <sheetData>
    <row r="1" spans="1:37" ht="15.6">
      <c r="A1" s="4417" t="s">
        <v>970</v>
      </c>
      <c r="P1" s="3986">
        <v>0.18334</v>
      </c>
      <c r="Q1" s="3986">
        <v>0.81666000000000005</v>
      </c>
    </row>
    <row r="2" spans="1:37" ht="14.4" thickBot="1">
      <c r="A2" s="3985" t="s">
        <v>637</v>
      </c>
    </row>
    <row r="3" spans="1:37" ht="14.4" thickBot="1">
      <c r="B3" s="4491" t="s">
        <v>638</v>
      </c>
      <c r="C3" s="4492"/>
      <c r="D3" s="4492"/>
      <c r="E3" s="4492"/>
      <c r="F3" s="4492"/>
      <c r="G3" s="4492"/>
      <c r="H3" s="4492"/>
      <c r="I3" s="4492"/>
      <c r="J3" s="4492"/>
      <c r="K3" s="4492"/>
      <c r="L3" s="4492"/>
      <c r="M3" s="4492"/>
      <c r="N3" s="4492"/>
      <c r="O3" s="4493"/>
    </row>
    <row r="4" spans="1:37">
      <c r="A4" s="3987"/>
      <c r="B4" s="3988">
        <v>2000</v>
      </c>
      <c r="C4" s="3989">
        <v>2001</v>
      </c>
      <c r="D4" s="3989">
        <v>2002</v>
      </c>
      <c r="E4" s="3989">
        <v>2003</v>
      </c>
      <c r="F4" s="3989">
        <v>2004</v>
      </c>
      <c r="G4" s="3989">
        <v>2005</v>
      </c>
      <c r="H4" s="3989">
        <v>2006</v>
      </c>
      <c r="I4" s="3989">
        <v>2007</v>
      </c>
      <c r="J4" s="3989">
        <v>2008</v>
      </c>
      <c r="K4" s="3989">
        <v>2009</v>
      </c>
      <c r="L4" s="3989">
        <v>2010</v>
      </c>
      <c r="M4" s="3989">
        <v>2011</v>
      </c>
      <c r="N4" s="3989">
        <v>2012</v>
      </c>
      <c r="O4" s="3990">
        <v>2013</v>
      </c>
      <c r="P4" s="3989">
        <v>2014</v>
      </c>
      <c r="Q4" s="3989">
        <v>2015</v>
      </c>
      <c r="R4" s="3989">
        <v>2016</v>
      </c>
      <c r="S4" s="3989">
        <v>2017</v>
      </c>
      <c r="T4" s="3989">
        <v>2018</v>
      </c>
      <c r="U4" s="3989">
        <v>2019</v>
      </c>
      <c r="V4" s="3989">
        <v>2020</v>
      </c>
      <c r="W4" s="3989">
        <v>2021</v>
      </c>
      <c r="X4" s="3989">
        <v>2022</v>
      </c>
      <c r="Y4" s="3989">
        <v>2023</v>
      </c>
      <c r="Z4" s="3989">
        <v>2024</v>
      </c>
      <c r="AA4" s="3989">
        <v>2025</v>
      </c>
      <c r="AB4" s="3989">
        <v>2026</v>
      </c>
      <c r="AC4" s="3989">
        <v>2027</v>
      </c>
      <c r="AD4" s="3989">
        <v>2028</v>
      </c>
      <c r="AE4" s="3989">
        <v>2029</v>
      </c>
      <c r="AF4" s="3989">
        <v>2030</v>
      </c>
      <c r="AG4" s="3989">
        <v>2031</v>
      </c>
      <c r="AH4" s="3989">
        <v>2032</v>
      </c>
      <c r="AI4" s="3989">
        <v>2033</v>
      </c>
      <c r="AJ4" s="3990">
        <v>2034</v>
      </c>
      <c r="AK4" s="4102">
        <v>2035</v>
      </c>
    </row>
    <row r="5" spans="1:37">
      <c r="A5" s="3991" t="s">
        <v>263</v>
      </c>
      <c r="B5" s="3992">
        <v>15684160</v>
      </c>
      <c r="C5" s="3993">
        <v>16699178</v>
      </c>
      <c r="D5" s="3993">
        <v>16296520</v>
      </c>
      <c r="E5" s="3993">
        <v>16310978</v>
      </c>
      <c r="F5" s="3993">
        <v>16146719</v>
      </c>
      <c r="G5" s="3993">
        <v>16303973</v>
      </c>
      <c r="H5" s="3993">
        <v>18297029</v>
      </c>
      <c r="I5" s="3993">
        <v>24575676</v>
      </c>
      <c r="J5" s="3993">
        <v>24822802</v>
      </c>
      <c r="K5" s="3993">
        <v>26118321</v>
      </c>
      <c r="L5" s="3993">
        <v>26901091</v>
      </c>
      <c r="M5" s="3993">
        <v>39480478</v>
      </c>
      <c r="N5" s="3993">
        <v>22984251</v>
      </c>
      <c r="O5" s="3994">
        <v>15668143</v>
      </c>
      <c r="P5" s="3993">
        <v>15663775</v>
      </c>
      <c r="Q5" s="3993">
        <v>15886642</v>
      </c>
      <c r="R5" s="3993">
        <v>15863712</v>
      </c>
      <c r="S5" s="3993">
        <v>15802989</v>
      </c>
      <c r="T5" s="3993">
        <v>16025147</v>
      </c>
      <c r="U5" s="3993">
        <v>13322792</v>
      </c>
      <c r="V5" s="3993">
        <v>11878841</v>
      </c>
      <c r="W5" s="3993">
        <v>11879890</v>
      </c>
      <c r="X5" s="3993">
        <v>10448615</v>
      </c>
      <c r="Y5" s="3993">
        <v>10517484</v>
      </c>
      <c r="Z5" s="3993">
        <v>10514890</v>
      </c>
      <c r="AA5" s="3993">
        <v>10512977</v>
      </c>
      <c r="AB5" s="3993">
        <v>8237195</v>
      </c>
      <c r="AC5" s="3993">
        <v>8253251</v>
      </c>
      <c r="AD5" s="3993">
        <v>3069917</v>
      </c>
      <c r="AE5" s="3993">
        <v>1730109</v>
      </c>
      <c r="AF5" s="3993">
        <v>1728802</v>
      </c>
      <c r="AG5" s="4124">
        <v>0</v>
      </c>
      <c r="AH5" s="4124">
        <v>0</v>
      </c>
      <c r="AI5" s="4124">
        <v>0</v>
      </c>
      <c r="AJ5" s="4125">
        <v>0</v>
      </c>
    </row>
    <row r="6" spans="1:37">
      <c r="A6" s="3991" t="s">
        <v>265</v>
      </c>
      <c r="B6" s="3992">
        <v>1340440</v>
      </c>
      <c r="C6" s="3993">
        <v>1385857</v>
      </c>
      <c r="D6" s="3993">
        <v>1707941</v>
      </c>
      <c r="E6" s="3993">
        <v>1713328</v>
      </c>
      <c r="F6" s="3993">
        <v>1804606</v>
      </c>
      <c r="G6" s="3993">
        <v>1812830</v>
      </c>
      <c r="H6" s="3993">
        <v>1883532</v>
      </c>
      <c r="I6" s="3993">
        <v>2026511</v>
      </c>
      <c r="J6" s="3993">
        <v>2038168</v>
      </c>
      <c r="K6" s="3993">
        <v>2001956</v>
      </c>
      <c r="L6" s="3993">
        <v>1896844</v>
      </c>
      <c r="M6" s="3993">
        <v>1400591</v>
      </c>
      <c r="N6" s="3993">
        <v>1399673</v>
      </c>
      <c r="O6" s="3994">
        <v>1399262</v>
      </c>
      <c r="P6" s="3993">
        <v>1400666</v>
      </c>
      <c r="Q6" s="3993">
        <v>1246022</v>
      </c>
      <c r="R6" s="3993">
        <v>1245583</v>
      </c>
      <c r="S6" s="3993">
        <v>1245987</v>
      </c>
      <c r="T6" s="3993">
        <v>1061296</v>
      </c>
      <c r="U6" s="3993">
        <v>575198</v>
      </c>
      <c r="V6" s="3993">
        <v>424195</v>
      </c>
      <c r="W6" s="3993">
        <v>424538</v>
      </c>
      <c r="X6" s="4124">
        <v>0</v>
      </c>
      <c r="Y6" s="4124">
        <v>0</v>
      </c>
      <c r="Z6" s="4124">
        <v>0</v>
      </c>
      <c r="AA6" s="4124">
        <v>0</v>
      </c>
      <c r="AB6" s="4124">
        <v>0</v>
      </c>
      <c r="AC6" s="4124">
        <v>0</v>
      </c>
      <c r="AD6" s="4124">
        <v>0</v>
      </c>
      <c r="AE6" s="4124">
        <v>0</v>
      </c>
      <c r="AF6" s="4124">
        <v>0</v>
      </c>
      <c r="AG6" s="4124">
        <v>0</v>
      </c>
      <c r="AH6" s="4124">
        <v>0</v>
      </c>
      <c r="AI6" s="4124">
        <v>0</v>
      </c>
      <c r="AJ6" s="4125">
        <v>0</v>
      </c>
    </row>
    <row r="7" spans="1:37">
      <c r="A7" s="3991" t="s">
        <v>264</v>
      </c>
      <c r="B7" s="3992">
        <v>1641127</v>
      </c>
      <c r="C7" s="3993">
        <v>1696732</v>
      </c>
      <c r="D7" s="3993">
        <v>2018631</v>
      </c>
      <c r="E7" s="3993">
        <v>2024999</v>
      </c>
      <c r="F7" s="3993">
        <v>2022724</v>
      </c>
      <c r="G7" s="3993">
        <v>2031944</v>
      </c>
      <c r="H7" s="3993">
        <v>2254333</v>
      </c>
      <c r="I7" s="3993">
        <v>2425461</v>
      </c>
      <c r="J7" s="3993">
        <v>2394273</v>
      </c>
      <c r="K7" s="3993">
        <v>2351735</v>
      </c>
      <c r="L7" s="3993">
        <v>2103973</v>
      </c>
      <c r="M7" s="3993">
        <v>1553532</v>
      </c>
      <c r="N7" s="3993">
        <v>1819808</v>
      </c>
      <c r="O7" s="3994">
        <v>1818053</v>
      </c>
      <c r="P7" s="3993">
        <v>1795518</v>
      </c>
      <c r="Q7" s="3993">
        <v>1577593</v>
      </c>
      <c r="R7" s="3993">
        <v>1577758</v>
      </c>
      <c r="S7" s="3993">
        <v>1574585</v>
      </c>
      <c r="T7" s="3993">
        <v>1204863</v>
      </c>
      <c r="U7" s="3993">
        <v>1709961</v>
      </c>
      <c r="V7" s="3993">
        <v>1497845</v>
      </c>
      <c r="W7" s="3993">
        <v>1496196</v>
      </c>
      <c r="X7" s="4124">
        <v>0</v>
      </c>
      <c r="Y7" s="4124">
        <v>0</v>
      </c>
      <c r="Z7" s="4124">
        <v>0</v>
      </c>
      <c r="AA7" s="4124">
        <v>0</v>
      </c>
      <c r="AB7" s="4124">
        <v>0</v>
      </c>
      <c r="AC7" s="4124">
        <v>0</v>
      </c>
      <c r="AD7" s="4124">
        <v>0</v>
      </c>
      <c r="AE7" s="4124">
        <v>0</v>
      </c>
      <c r="AF7" s="4124">
        <v>0</v>
      </c>
      <c r="AG7" s="4124">
        <v>0</v>
      </c>
      <c r="AH7" s="4124">
        <v>0</v>
      </c>
      <c r="AI7" s="4124">
        <v>0</v>
      </c>
      <c r="AJ7" s="4125">
        <v>0</v>
      </c>
    </row>
    <row r="8" spans="1:37">
      <c r="A8" s="3991" t="s">
        <v>266</v>
      </c>
      <c r="B8" s="3992">
        <v>3134724</v>
      </c>
      <c r="C8" s="3993">
        <v>3240936</v>
      </c>
      <c r="D8" s="3993">
        <v>3950817</v>
      </c>
      <c r="E8" s="3993">
        <v>3963279</v>
      </c>
      <c r="F8" s="3993">
        <v>3557707</v>
      </c>
      <c r="G8" s="3993">
        <v>3573923</v>
      </c>
      <c r="H8" s="3993">
        <v>3979214</v>
      </c>
      <c r="I8" s="3993">
        <v>4281276</v>
      </c>
      <c r="J8" s="3993">
        <v>4316246</v>
      </c>
      <c r="K8" s="3993">
        <v>4239561</v>
      </c>
      <c r="L8" s="3993">
        <v>3899173</v>
      </c>
      <c r="M8" s="3993">
        <v>2879072</v>
      </c>
      <c r="N8" s="3993">
        <v>2595769</v>
      </c>
      <c r="O8" s="3994">
        <v>2801821</v>
      </c>
      <c r="P8" s="3993">
        <v>2743448</v>
      </c>
      <c r="Q8" s="3993">
        <v>3190143</v>
      </c>
      <c r="R8" s="3993">
        <v>3190702</v>
      </c>
      <c r="S8" s="3993">
        <v>3189002</v>
      </c>
      <c r="T8" s="3993">
        <v>2865801</v>
      </c>
      <c r="U8" s="3993">
        <v>2201093</v>
      </c>
      <c r="V8" s="3993">
        <v>1933030</v>
      </c>
      <c r="W8" s="3993">
        <v>1935771</v>
      </c>
      <c r="X8" s="3993">
        <v>1192947</v>
      </c>
      <c r="Y8" s="3993">
        <v>1202507</v>
      </c>
      <c r="Z8" s="4124">
        <v>0</v>
      </c>
      <c r="AA8" s="4124">
        <v>0</v>
      </c>
      <c r="AB8" s="4124">
        <v>0</v>
      </c>
      <c r="AC8" s="4124">
        <v>0</v>
      </c>
      <c r="AD8" s="4124">
        <v>0</v>
      </c>
      <c r="AE8" s="4124">
        <v>0</v>
      </c>
      <c r="AF8" s="4124">
        <v>0</v>
      </c>
      <c r="AG8" s="4124">
        <v>0</v>
      </c>
      <c r="AH8" s="4124">
        <v>0</v>
      </c>
      <c r="AI8" s="4124">
        <v>0</v>
      </c>
      <c r="AJ8" s="4125">
        <v>0</v>
      </c>
    </row>
    <row r="9" spans="1:37">
      <c r="A9" s="3991" t="s">
        <v>267</v>
      </c>
      <c r="B9" s="3992">
        <v>4202682</v>
      </c>
      <c r="C9" s="3993">
        <v>4345078</v>
      </c>
      <c r="D9" s="3993">
        <v>5338342</v>
      </c>
      <c r="E9" s="3993">
        <v>5355180</v>
      </c>
      <c r="F9" s="3993">
        <v>5427781</v>
      </c>
      <c r="G9" s="3993">
        <v>5452521</v>
      </c>
      <c r="H9" s="3993">
        <v>5495632</v>
      </c>
      <c r="I9" s="3993">
        <v>5912806</v>
      </c>
      <c r="J9" s="3995">
        <v>5967558</v>
      </c>
      <c r="K9" s="3993">
        <v>7220812</v>
      </c>
      <c r="L9" s="3993">
        <v>5658917</v>
      </c>
      <c r="M9" s="3993">
        <v>4178432</v>
      </c>
      <c r="N9" s="3993">
        <v>4263191</v>
      </c>
      <c r="O9" s="3994">
        <v>4263860</v>
      </c>
      <c r="P9" s="3993">
        <v>4227071</v>
      </c>
      <c r="Q9" s="3993">
        <v>3863236</v>
      </c>
      <c r="R9" s="3993">
        <v>3860053</v>
      </c>
      <c r="S9" s="3993">
        <v>3853045</v>
      </c>
      <c r="T9" s="3993">
        <v>3276061</v>
      </c>
      <c r="U9" s="3993">
        <v>4134487</v>
      </c>
      <c r="V9" s="3993">
        <v>3771796</v>
      </c>
      <c r="W9" s="3993">
        <v>3772876</v>
      </c>
      <c r="X9" s="3993">
        <v>1659888</v>
      </c>
      <c r="Y9" s="3993">
        <v>1663452</v>
      </c>
      <c r="Z9" s="3993">
        <v>1663901</v>
      </c>
      <c r="AA9" s="3993">
        <v>1661194</v>
      </c>
      <c r="AB9" s="3993">
        <v>1663416</v>
      </c>
      <c r="AC9" s="3993">
        <v>1660779</v>
      </c>
      <c r="AD9" s="3993">
        <v>1568005</v>
      </c>
      <c r="AE9" s="3993">
        <v>1565118</v>
      </c>
      <c r="AF9" s="3993">
        <v>1569813</v>
      </c>
      <c r="AG9" s="4124">
        <v>43000</v>
      </c>
      <c r="AH9" s="4124">
        <v>41000</v>
      </c>
      <c r="AI9" s="4124">
        <v>0</v>
      </c>
      <c r="AJ9" s="4125">
        <v>0</v>
      </c>
    </row>
    <row r="10" spans="1:37">
      <c r="A10" s="3991" t="s">
        <v>268</v>
      </c>
      <c r="B10" s="3992">
        <v>3382603</v>
      </c>
      <c r="C10" s="3993">
        <v>3497213</v>
      </c>
      <c r="D10" s="3993">
        <v>4899578</v>
      </c>
      <c r="E10" s="3993">
        <v>4915032</v>
      </c>
      <c r="F10" s="3993">
        <v>4924139</v>
      </c>
      <c r="G10" s="3993">
        <v>4946583</v>
      </c>
      <c r="H10" s="3993">
        <v>4835198</v>
      </c>
      <c r="I10" s="3993">
        <v>5202237</v>
      </c>
      <c r="J10" s="3995">
        <v>5266033</v>
      </c>
      <c r="K10" s="3993">
        <v>5172474</v>
      </c>
      <c r="L10" s="3993">
        <v>5048022</v>
      </c>
      <c r="M10" s="3993">
        <v>3727359</v>
      </c>
      <c r="N10" s="3993">
        <v>3046340</v>
      </c>
      <c r="O10" s="3994">
        <v>3052964</v>
      </c>
      <c r="P10" s="3993">
        <v>2969040</v>
      </c>
      <c r="Q10" s="3993">
        <v>2491336</v>
      </c>
      <c r="R10" s="3993">
        <v>2493450</v>
      </c>
      <c r="S10" s="3993">
        <v>2491920</v>
      </c>
      <c r="T10" s="3993">
        <v>2827623</v>
      </c>
      <c r="U10" s="3993">
        <v>3383383</v>
      </c>
      <c r="V10" s="3993">
        <v>2407689</v>
      </c>
      <c r="W10" s="3993">
        <v>2411339</v>
      </c>
      <c r="X10" s="3993">
        <v>1689180</v>
      </c>
      <c r="Y10" s="3993">
        <v>1702750</v>
      </c>
      <c r="Z10" s="4124">
        <v>0</v>
      </c>
      <c r="AA10" s="4124">
        <v>0</v>
      </c>
      <c r="AB10" s="4124">
        <v>0</v>
      </c>
      <c r="AC10" s="4124">
        <v>0</v>
      </c>
      <c r="AD10" s="4124">
        <v>0</v>
      </c>
      <c r="AE10" s="4124">
        <v>0</v>
      </c>
      <c r="AF10" s="4124">
        <v>0</v>
      </c>
      <c r="AG10" s="4124">
        <v>0</v>
      </c>
      <c r="AH10" s="4124">
        <v>0</v>
      </c>
      <c r="AI10" s="4124">
        <v>0</v>
      </c>
      <c r="AJ10" s="4125">
        <v>0</v>
      </c>
    </row>
    <row r="11" spans="1:37">
      <c r="A11" s="3991" t="s">
        <v>746</v>
      </c>
      <c r="B11" s="3992">
        <v>3004452</v>
      </c>
      <c r="C11" s="3993">
        <v>3123465</v>
      </c>
      <c r="D11" s="3993">
        <v>3335121</v>
      </c>
      <c r="E11" s="3993">
        <v>3336311</v>
      </c>
      <c r="F11" s="3993">
        <v>3462881</v>
      </c>
      <c r="G11" s="3993">
        <v>3482543</v>
      </c>
      <c r="H11" s="3993">
        <v>3047105</v>
      </c>
      <c r="I11" s="3993">
        <v>3243817</v>
      </c>
      <c r="J11" s="3993">
        <v>4332751</v>
      </c>
      <c r="K11" s="3993">
        <v>5442505</v>
      </c>
      <c r="L11" s="3993">
        <v>4189020</v>
      </c>
      <c r="M11" s="3993">
        <v>4160100</v>
      </c>
      <c r="N11" s="3993">
        <f>15529220*0.188</f>
        <v>2919493.36</v>
      </c>
      <c r="O11" s="3994">
        <v>3626825</v>
      </c>
      <c r="P11" s="3993">
        <f>18597722*$P$1</f>
        <v>3409706.3514800002</v>
      </c>
      <c r="Q11" s="3993">
        <f>19017558*$P$1</f>
        <v>3486679.08372</v>
      </c>
      <c r="R11" s="3993">
        <f>19005687*$P$1</f>
        <v>3484502.6545799999</v>
      </c>
      <c r="S11" s="3993">
        <f>18988775*$P$1</f>
        <v>3481402.0085</v>
      </c>
      <c r="T11" s="3993">
        <f>19641886*$P$1</f>
        <v>3601143.3792400002</v>
      </c>
      <c r="U11" s="3993">
        <f>17102958*$P$1</f>
        <v>3135656.31972</v>
      </c>
      <c r="V11" s="3993">
        <f>14569104*$P$1</f>
        <v>2671099.5273600002</v>
      </c>
      <c r="W11" s="3993">
        <f>14572245*$P$1</f>
        <v>2671675.3983</v>
      </c>
      <c r="X11" s="3993">
        <f>10822703*$P$1</f>
        <v>1984234.3680199999</v>
      </c>
      <c r="Y11" s="3993">
        <f>10879628*$P$1</f>
        <v>1994670.99752</v>
      </c>
      <c r="Z11" s="3993">
        <f>8345835*$P$1</f>
        <v>1530125.3889000001</v>
      </c>
      <c r="AA11" s="3993">
        <f>8339285*$P$1</f>
        <v>1528924.5119</v>
      </c>
      <c r="AB11" s="3993">
        <f>8337833*$P$1</f>
        <v>1528658.30222</v>
      </c>
      <c r="AC11" s="3993">
        <f>8340184*$P$1</f>
        <v>1529089.3345600001</v>
      </c>
      <c r="AD11" s="3993">
        <f>3076929*$P$1</f>
        <v>564124.16286000004</v>
      </c>
      <c r="AE11" s="3993">
        <f>3073495*$P$1</f>
        <v>563494.57330000005</v>
      </c>
      <c r="AF11" s="3993">
        <f>3074039*$P$1</f>
        <v>563594.31026000006</v>
      </c>
      <c r="AG11" s="4124">
        <f>2446000*$P$1</f>
        <v>448449.64</v>
      </c>
      <c r="AH11" s="4124">
        <f>244625*$P$1</f>
        <v>44849.547500000001</v>
      </c>
      <c r="AI11" s="4124">
        <v>0</v>
      </c>
      <c r="AJ11" s="4125">
        <v>0</v>
      </c>
    </row>
    <row r="12" spans="1:37">
      <c r="A12" s="3991" t="s">
        <v>485</v>
      </c>
      <c r="B12" s="3992">
        <v>13515052</v>
      </c>
      <c r="C12" s="3993">
        <v>14050409</v>
      </c>
      <c r="D12" s="3993">
        <v>14776328</v>
      </c>
      <c r="E12" s="3993">
        <v>14781599</v>
      </c>
      <c r="F12" s="3993">
        <v>16208181</v>
      </c>
      <c r="G12" s="3993">
        <v>16300205</v>
      </c>
      <c r="H12" s="3993">
        <v>15409015</v>
      </c>
      <c r="I12" s="3993">
        <v>16403766</v>
      </c>
      <c r="J12" s="3993">
        <v>20727099</v>
      </c>
      <c r="K12" s="3993">
        <v>20978428</v>
      </c>
      <c r="L12" s="3993">
        <v>20004544</v>
      </c>
      <c r="M12" s="3993">
        <v>13472705</v>
      </c>
      <c r="N12" s="3993">
        <f>15529220*0.812</f>
        <v>12609726.640000001</v>
      </c>
      <c r="O12" s="3994">
        <v>15664799</v>
      </c>
      <c r="P12" s="3993">
        <f>18597722*$Q$1</f>
        <v>15188015.64852</v>
      </c>
      <c r="Q12" s="3993">
        <f>19017558*$Q$1</f>
        <v>15530878.916280001</v>
      </c>
      <c r="R12" s="3993">
        <f>19005687*$Q$1</f>
        <v>15521184.345420001</v>
      </c>
      <c r="S12" s="3993">
        <f>18988775*$Q$1</f>
        <v>15507372.991500001</v>
      </c>
      <c r="T12" s="3993">
        <f>19641886*$Q$1</f>
        <v>16040742.620760001</v>
      </c>
      <c r="U12" s="3993">
        <f>17102958*$Q$1</f>
        <v>13967301.68028</v>
      </c>
      <c r="V12" s="3993">
        <f>14569104*$Q$1</f>
        <v>11898004.47264</v>
      </c>
      <c r="W12" s="3993">
        <f>14572245*$Q$1</f>
        <v>11900569.6017</v>
      </c>
      <c r="X12" s="3993">
        <f>10822703*$Q$1</f>
        <v>8838468.6319800001</v>
      </c>
      <c r="Y12" s="3993">
        <f>10879628*$Q$1</f>
        <v>8884957.0024800003</v>
      </c>
      <c r="Z12" s="3993">
        <f>8345835*$Q$1</f>
        <v>6815709.6111000003</v>
      </c>
      <c r="AA12" s="3993">
        <f>8335285*$Q$1</f>
        <v>6807093.8481000001</v>
      </c>
      <c r="AB12" s="3993">
        <f>8337833*$Q$1</f>
        <v>6809174.69778</v>
      </c>
      <c r="AC12" s="3993">
        <f>8340184*$Q$1</f>
        <v>6811094.6654400006</v>
      </c>
      <c r="AD12" s="3993">
        <f>3076929*$Q$1</f>
        <v>2512804.83714</v>
      </c>
      <c r="AE12" s="3993">
        <f>3073495*$Q$1</f>
        <v>2510000.4267000002</v>
      </c>
      <c r="AF12" s="3993">
        <f>3074039*$Q$1</f>
        <v>2510444.6897400003</v>
      </c>
      <c r="AG12" s="4124">
        <f>2446000*$Q$1</f>
        <v>1997550.36</v>
      </c>
      <c r="AH12" s="4124">
        <f>2444625*$Q$1</f>
        <v>1996427.4525000001</v>
      </c>
      <c r="AI12" s="4124">
        <v>0</v>
      </c>
      <c r="AJ12" s="4125">
        <v>0</v>
      </c>
    </row>
    <row r="13" spans="1:37">
      <c r="A13" s="3991" t="s">
        <v>270</v>
      </c>
      <c r="B13" s="3992">
        <v>20868889</v>
      </c>
      <c r="C13" s="3993">
        <v>20940679</v>
      </c>
      <c r="D13" s="3993">
        <v>24352649</v>
      </c>
      <c r="E13" s="3993">
        <v>24389597</v>
      </c>
      <c r="F13" s="3993">
        <v>21271920</v>
      </c>
      <c r="G13" s="3993">
        <v>17632498</v>
      </c>
      <c r="H13" s="3993">
        <v>17606980</v>
      </c>
      <c r="I13" s="3993">
        <v>20920977</v>
      </c>
      <c r="J13" s="3993">
        <v>23928533</v>
      </c>
      <c r="K13" s="3993">
        <v>26084329</v>
      </c>
      <c r="L13" s="3993">
        <v>26722911</v>
      </c>
      <c r="M13" s="3993">
        <v>27614524</v>
      </c>
      <c r="N13" s="3993">
        <v>25150230</v>
      </c>
      <c r="O13" s="3994">
        <v>25273722</v>
      </c>
      <c r="P13" s="3993">
        <v>21336918</v>
      </c>
      <c r="Q13" s="3993">
        <v>20821980</v>
      </c>
      <c r="R13" s="3993">
        <v>20814754</v>
      </c>
      <c r="S13" s="3993">
        <v>19177140</v>
      </c>
      <c r="T13" s="3993">
        <v>18363662</v>
      </c>
      <c r="U13" s="3993">
        <v>17573396</v>
      </c>
      <c r="V13" s="3993">
        <v>16473701</v>
      </c>
      <c r="W13" s="3993">
        <v>16404072</v>
      </c>
      <c r="X13" s="3993">
        <v>16242802</v>
      </c>
      <c r="Y13" s="3993">
        <v>13277039</v>
      </c>
      <c r="Z13" s="3993">
        <v>12331447</v>
      </c>
      <c r="AA13" s="3993">
        <v>12330479</v>
      </c>
      <c r="AB13" s="3993">
        <v>11837497</v>
      </c>
      <c r="AC13" s="3993">
        <v>8000657</v>
      </c>
      <c r="AD13" s="3993">
        <v>4179000</v>
      </c>
      <c r="AE13" s="3993">
        <v>0</v>
      </c>
      <c r="AF13" s="3993">
        <v>0</v>
      </c>
      <c r="AG13" s="4124">
        <v>0</v>
      </c>
      <c r="AH13" s="4124">
        <v>0</v>
      </c>
      <c r="AI13" s="4124">
        <v>0</v>
      </c>
      <c r="AJ13" s="4125">
        <v>0</v>
      </c>
    </row>
    <row r="14" spans="1:37">
      <c r="A14" s="3991" t="s">
        <v>271</v>
      </c>
      <c r="B14" s="3992">
        <v>1933404</v>
      </c>
      <c r="C14" s="3993">
        <v>1940136</v>
      </c>
      <c r="D14" s="3993">
        <v>1943236</v>
      </c>
      <c r="E14" s="3993">
        <v>1938961</v>
      </c>
      <c r="F14" s="3993">
        <v>1935321</v>
      </c>
      <c r="G14" s="3993">
        <v>1935778</v>
      </c>
      <c r="H14" s="3993">
        <v>1930940</v>
      </c>
      <c r="I14" s="3993">
        <v>1941138</v>
      </c>
      <c r="J14" s="3993">
        <v>1549834</v>
      </c>
      <c r="K14" s="3993">
        <v>1614058</v>
      </c>
      <c r="L14" s="3993">
        <v>1491261</v>
      </c>
      <c r="M14" s="3993">
        <v>1491824</v>
      </c>
      <c r="N14" s="3993">
        <v>1490058</v>
      </c>
      <c r="O14" s="3994">
        <v>1489772</v>
      </c>
      <c r="P14" s="3993">
        <v>1474082</v>
      </c>
      <c r="Q14" s="3993">
        <v>1478484</v>
      </c>
      <c r="R14" s="3993">
        <v>1477771</v>
      </c>
      <c r="S14" s="3993">
        <v>574365</v>
      </c>
      <c r="T14" s="3993">
        <v>128742</v>
      </c>
      <c r="U14" s="3993">
        <v>75310</v>
      </c>
      <c r="V14" s="3993">
        <v>0</v>
      </c>
      <c r="W14" s="3993">
        <v>0</v>
      </c>
      <c r="X14" s="3993">
        <v>0</v>
      </c>
      <c r="Y14" s="3993">
        <v>0</v>
      </c>
      <c r="Z14" s="3993">
        <v>0</v>
      </c>
      <c r="AA14" s="3993">
        <v>0</v>
      </c>
      <c r="AB14" s="3993">
        <v>0</v>
      </c>
      <c r="AC14" s="3993">
        <v>0</v>
      </c>
      <c r="AD14" s="3993">
        <v>0</v>
      </c>
      <c r="AE14" s="3993">
        <v>0</v>
      </c>
      <c r="AF14" s="3993">
        <v>0</v>
      </c>
      <c r="AG14" s="4124">
        <v>0</v>
      </c>
      <c r="AH14" s="4124">
        <v>0</v>
      </c>
      <c r="AI14" s="4124">
        <v>0</v>
      </c>
      <c r="AJ14" s="4125">
        <v>0</v>
      </c>
    </row>
    <row r="15" spans="1:37">
      <c r="A15" s="3991" t="s">
        <v>273</v>
      </c>
      <c r="B15" s="3992">
        <v>2809080</v>
      </c>
      <c r="C15" s="3993">
        <v>2810820</v>
      </c>
      <c r="D15" s="3993">
        <v>2809150</v>
      </c>
      <c r="E15" s="3993">
        <v>2808850</v>
      </c>
      <c r="F15" s="3993">
        <v>1468004</v>
      </c>
      <c r="G15" s="3993">
        <v>0</v>
      </c>
      <c r="H15" s="3993">
        <v>0</v>
      </c>
      <c r="I15" s="3993">
        <v>0</v>
      </c>
      <c r="J15" s="3993">
        <v>0</v>
      </c>
      <c r="K15" s="3993">
        <v>0</v>
      </c>
      <c r="L15" s="3993">
        <v>0</v>
      </c>
      <c r="M15" s="3993">
        <v>0</v>
      </c>
      <c r="N15" s="3993">
        <v>0</v>
      </c>
      <c r="O15" s="3994">
        <v>0</v>
      </c>
      <c r="P15" s="3993">
        <v>0</v>
      </c>
      <c r="Q15" s="3993">
        <v>0</v>
      </c>
      <c r="R15" s="3993">
        <v>0</v>
      </c>
      <c r="S15" s="3993">
        <v>0</v>
      </c>
      <c r="T15" s="3993">
        <v>0</v>
      </c>
      <c r="U15" s="3993">
        <v>0</v>
      </c>
      <c r="V15" s="3993">
        <v>0</v>
      </c>
      <c r="W15" s="3993">
        <v>0</v>
      </c>
      <c r="X15" s="3993">
        <v>0</v>
      </c>
      <c r="Y15" s="3993">
        <v>0</v>
      </c>
      <c r="Z15" s="3993">
        <v>0</v>
      </c>
      <c r="AA15" s="3993">
        <v>0</v>
      </c>
      <c r="AB15" s="3993">
        <v>0</v>
      </c>
      <c r="AC15" s="3993">
        <v>0</v>
      </c>
      <c r="AD15" s="3993">
        <v>0</v>
      </c>
      <c r="AE15" s="3993">
        <v>0</v>
      </c>
      <c r="AF15" s="3993">
        <v>0</v>
      </c>
      <c r="AG15" s="3993">
        <v>0</v>
      </c>
      <c r="AH15" s="3993">
        <v>0</v>
      </c>
      <c r="AI15" s="3993">
        <v>0</v>
      </c>
      <c r="AJ15" s="4125">
        <v>0</v>
      </c>
    </row>
    <row r="16" spans="1:37">
      <c r="A16" s="3991" t="s">
        <v>272</v>
      </c>
      <c r="B16" s="3992">
        <v>4582311</v>
      </c>
      <c r="C16" s="3993">
        <v>4614070</v>
      </c>
      <c r="D16" s="3993">
        <v>4538798</v>
      </c>
      <c r="E16" s="3993">
        <v>4535071</v>
      </c>
      <c r="F16" s="3993">
        <v>3683717</v>
      </c>
      <c r="G16" s="3993">
        <v>3331188</v>
      </c>
      <c r="H16" s="3993">
        <v>3334353</v>
      </c>
      <c r="I16" s="3993">
        <v>3240770</v>
      </c>
      <c r="J16" s="3993">
        <v>4223331</v>
      </c>
      <c r="K16" s="3993">
        <v>5352031</v>
      </c>
      <c r="L16" s="3993">
        <v>5995241</v>
      </c>
      <c r="M16" s="3993">
        <v>5980642</v>
      </c>
      <c r="N16" s="3993">
        <v>5412164</v>
      </c>
      <c r="O16" s="3994">
        <v>5420037</v>
      </c>
      <c r="P16" s="4126">
        <v>5310403</v>
      </c>
      <c r="Q16" s="4126">
        <v>5312223</v>
      </c>
      <c r="R16" s="4126">
        <v>5310600</v>
      </c>
      <c r="S16" s="4126">
        <v>4252847</v>
      </c>
      <c r="T16" s="4126">
        <v>3732088</v>
      </c>
      <c r="U16" s="4126">
        <v>3535799</v>
      </c>
      <c r="V16" s="4126">
        <v>3261406</v>
      </c>
      <c r="W16" s="4126">
        <v>3261116</v>
      </c>
      <c r="X16" s="4126">
        <v>3265311</v>
      </c>
      <c r="Y16" s="4126">
        <v>3268374</v>
      </c>
      <c r="Z16" s="4126">
        <v>3270141</v>
      </c>
      <c r="AA16" s="4126">
        <v>3271959</v>
      </c>
      <c r="AB16" s="4126">
        <v>3270179</v>
      </c>
      <c r="AC16" s="4126">
        <v>3267831</v>
      </c>
      <c r="AD16" s="4126">
        <v>1821750</v>
      </c>
      <c r="AE16" s="3993">
        <v>0</v>
      </c>
      <c r="AF16" s="3993">
        <v>0</v>
      </c>
      <c r="AG16" s="3993">
        <v>0</v>
      </c>
      <c r="AH16" s="3993">
        <v>0</v>
      </c>
      <c r="AI16" s="3993">
        <v>0</v>
      </c>
      <c r="AJ16" s="4125">
        <v>0</v>
      </c>
    </row>
    <row r="17" spans="1:36">
      <c r="A17" s="3991" t="s">
        <v>275</v>
      </c>
      <c r="B17" s="3992">
        <v>6127781</v>
      </c>
      <c r="C17" s="3993">
        <v>5742818</v>
      </c>
      <c r="D17" s="3993">
        <v>7159560</v>
      </c>
      <c r="E17" s="3993">
        <v>6542859</v>
      </c>
      <c r="F17" s="3993">
        <v>6549325</v>
      </c>
      <c r="G17" s="3993">
        <v>6549470</v>
      </c>
      <c r="H17" s="3993">
        <v>6663721</v>
      </c>
      <c r="I17" s="3993">
        <v>7282616</v>
      </c>
      <c r="J17" s="3993">
        <v>9465483</v>
      </c>
      <c r="K17" s="3993">
        <v>10224769</v>
      </c>
      <c r="L17" s="3993">
        <v>8231452</v>
      </c>
      <c r="M17" s="3993">
        <v>9455023</v>
      </c>
      <c r="N17" s="3993">
        <f>7633240+469295+784661</f>
        <v>8887196</v>
      </c>
      <c r="O17" s="3994">
        <v>8906871</v>
      </c>
      <c r="P17" s="3993">
        <f>8146874</f>
        <v>8146874</v>
      </c>
      <c r="Q17" s="3993">
        <f>8149135</f>
        <v>8149135</v>
      </c>
      <c r="R17" s="3993">
        <f>7368003</f>
        <v>7368003</v>
      </c>
      <c r="S17" s="3993">
        <f>5150366</f>
        <v>5150366</v>
      </c>
      <c r="T17" s="3993">
        <f>5154643</f>
        <v>5154643</v>
      </c>
      <c r="U17" s="3993">
        <f>5163620</f>
        <v>5163620</v>
      </c>
      <c r="V17" s="3993">
        <f>5168613</f>
        <v>5168613</v>
      </c>
      <c r="W17" s="3993">
        <f>5158445</f>
        <v>5158445</v>
      </c>
      <c r="X17" s="3993">
        <f>3747572</f>
        <v>3747572</v>
      </c>
      <c r="Y17" s="3993">
        <f>3750175</f>
        <v>3750175</v>
      </c>
      <c r="Z17" s="3993">
        <f>3753362</f>
        <v>3753362</v>
      </c>
      <c r="AA17" s="3993">
        <f>3753863</f>
        <v>3753863</v>
      </c>
      <c r="AB17" s="3993">
        <f>3227236</f>
        <v>3227236</v>
      </c>
      <c r="AC17" s="3993">
        <f>3229340</f>
        <v>3229340</v>
      </c>
      <c r="AD17" s="3993">
        <f>1195624</f>
        <v>1195624</v>
      </c>
      <c r="AE17" s="3993">
        <v>1191417</v>
      </c>
      <c r="AF17" s="3993">
        <f>1193294</f>
        <v>1193294</v>
      </c>
      <c r="AG17" s="4124">
        <f>498042</f>
        <v>498042</v>
      </c>
      <c r="AH17" s="3993">
        <v>0</v>
      </c>
      <c r="AI17" s="3993">
        <v>0</v>
      </c>
      <c r="AJ17" s="4125">
        <v>0</v>
      </c>
    </row>
    <row r="18" spans="1:36">
      <c r="A18" s="3991" t="s">
        <v>277</v>
      </c>
      <c r="B18" s="3992">
        <v>3620132</v>
      </c>
      <c r="C18" s="3993">
        <v>3710208</v>
      </c>
      <c r="D18" s="3993">
        <v>3989274</v>
      </c>
      <c r="E18" s="3993">
        <v>3993193</v>
      </c>
      <c r="F18" s="3993">
        <v>5862166</v>
      </c>
      <c r="G18" s="3993">
        <v>5859415</v>
      </c>
      <c r="H18" s="3993">
        <v>5855701</v>
      </c>
      <c r="I18" s="3993">
        <v>5901601</v>
      </c>
      <c r="J18" s="3993">
        <v>9488222</v>
      </c>
      <c r="K18" s="3993">
        <v>10996853</v>
      </c>
      <c r="L18" s="3993">
        <v>11920469</v>
      </c>
      <c r="M18" s="3993">
        <v>11119519</v>
      </c>
      <c r="N18" s="3993">
        <f>12146612-1147845</f>
        <v>10998767</v>
      </c>
      <c r="O18" s="3994">
        <v>12134116</v>
      </c>
      <c r="P18" s="3993">
        <f>11064580</f>
        <v>11064580</v>
      </c>
      <c r="Q18" s="3993">
        <f>9675961+1062181</f>
        <v>10738142</v>
      </c>
      <c r="R18" s="3993">
        <f>9675939+1061568</f>
        <v>10737507</v>
      </c>
      <c r="S18" s="3993">
        <f>8030182+1060920</f>
        <v>9091102</v>
      </c>
      <c r="T18" s="3993">
        <f>8027450+1060234</f>
        <v>9087684</v>
      </c>
      <c r="U18" s="3993">
        <f>8025219+1059509</f>
        <v>9084728</v>
      </c>
      <c r="V18" s="3993">
        <f>8026560+1058743</f>
        <v>9085303</v>
      </c>
      <c r="W18" s="3993">
        <f>8030580+1057932</f>
        <v>9088512</v>
      </c>
      <c r="X18" s="3993">
        <f>8029388+1057074</f>
        <v>9086462</v>
      </c>
      <c r="Y18" s="3993">
        <f>5969175+1056168</f>
        <v>7025343</v>
      </c>
      <c r="Z18" s="3993">
        <f>5969675+1055209</f>
        <v>7024884</v>
      </c>
      <c r="AA18" s="3993">
        <f>2907256+1054195</f>
        <v>3961451</v>
      </c>
      <c r="AB18" s="3993">
        <f>2909288+1053122</f>
        <v>3962410</v>
      </c>
      <c r="AC18" s="3993">
        <f>2908413+1051988</f>
        <v>3960401</v>
      </c>
      <c r="AD18" s="3993">
        <f>2909200+1050789</f>
        <v>3959989</v>
      </c>
      <c r="AE18" s="3993">
        <f>2906219+1049521</f>
        <v>3955740</v>
      </c>
      <c r="AF18" s="3993">
        <f>1048180</f>
        <v>1048180</v>
      </c>
      <c r="AG18" s="4124">
        <f>1046762</f>
        <v>1046762</v>
      </c>
      <c r="AH18" s="4124">
        <f>1045262</f>
        <v>1045262</v>
      </c>
      <c r="AI18" s="4124">
        <f>1043676</f>
        <v>1043676</v>
      </c>
      <c r="AJ18" s="4125">
        <v>0</v>
      </c>
    </row>
    <row r="19" spans="1:36">
      <c r="A19" s="3991" t="s">
        <v>276</v>
      </c>
      <c r="B19" s="3992">
        <v>7554324</v>
      </c>
      <c r="C19" s="3993">
        <v>7550437</v>
      </c>
      <c r="D19" s="3993">
        <v>9460987</v>
      </c>
      <c r="E19" s="3993">
        <v>6335738</v>
      </c>
      <c r="F19" s="3993">
        <v>8093255</v>
      </c>
      <c r="G19" s="3993">
        <v>8094555</v>
      </c>
      <c r="H19" s="3993">
        <v>7824168</v>
      </c>
      <c r="I19" s="3993">
        <v>10808931</v>
      </c>
      <c r="J19" s="3993">
        <v>12408664</v>
      </c>
      <c r="K19" s="3993">
        <v>14064079</v>
      </c>
      <c r="L19" s="3993">
        <v>11543674</v>
      </c>
      <c r="M19" s="3993">
        <v>14296955</v>
      </c>
      <c r="N19" s="3993">
        <v>14038557</v>
      </c>
      <c r="O19" s="3994">
        <v>14678487</v>
      </c>
      <c r="P19" s="3996">
        <f>13616365+647083</f>
        <v>14263448</v>
      </c>
      <c r="Q19" s="3993">
        <f>12849944+647083</f>
        <v>13497027</v>
      </c>
      <c r="R19" s="3993">
        <f>11498864+647083</f>
        <v>12145947</v>
      </c>
      <c r="S19" s="3993">
        <f>10631725+647083</f>
        <v>11278808</v>
      </c>
      <c r="T19" s="3993">
        <f>10627838+647083</f>
        <v>11274921</v>
      </c>
      <c r="U19" s="3993">
        <f>10622313+647083</f>
        <v>11269396</v>
      </c>
      <c r="V19" s="3993">
        <f>10626044+647083</f>
        <v>11273127</v>
      </c>
      <c r="W19" s="3993">
        <f>10627738+647083</f>
        <v>11274821</v>
      </c>
      <c r="X19" s="3993">
        <f>9118575+647083</f>
        <v>9765658</v>
      </c>
      <c r="Y19" s="3993">
        <f>9118575+647083</f>
        <v>9765658</v>
      </c>
      <c r="Z19" s="3993">
        <f>9115813+647083</f>
        <v>9762896</v>
      </c>
      <c r="AA19" s="3993">
        <f>7434088+647083</f>
        <v>8081171</v>
      </c>
      <c r="AB19" s="3993">
        <f>7429225+647083</f>
        <v>8076308</v>
      </c>
      <c r="AC19" s="3993">
        <f>5805238+647083</f>
        <v>6452321</v>
      </c>
      <c r="AD19" s="3993">
        <f>5782244+647083</f>
        <v>6429327</v>
      </c>
      <c r="AE19" s="3993">
        <f>2486325+647083</f>
        <v>3133408</v>
      </c>
      <c r="AF19" s="3993">
        <f>2489000+647083</f>
        <v>3136083</v>
      </c>
      <c r="AG19" s="4124">
        <f>2485625+647083</f>
        <v>3132708</v>
      </c>
      <c r="AH19" s="4124">
        <v>647083</v>
      </c>
      <c r="AI19" s="4124">
        <v>0</v>
      </c>
      <c r="AJ19" s="4125">
        <v>0</v>
      </c>
    </row>
    <row r="20" spans="1:36">
      <c r="A20" s="3991" t="s">
        <v>278</v>
      </c>
      <c r="B20" s="3992">
        <v>2863491</v>
      </c>
      <c r="C20" s="3993">
        <v>2870213</v>
      </c>
      <c r="D20" s="3993">
        <v>2070468</v>
      </c>
      <c r="E20" s="3993">
        <v>1853421</v>
      </c>
      <c r="F20" s="3993">
        <v>266455</v>
      </c>
      <c r="G20" s="3993">
        <v>2669550</v>
      </c>
      <c r="H20" s="3993">
        <v>3226033</v>
      </c>
      <c r="I20" s="3993">
        <v>3861825</v>
      </c>
      <c r="J20" s="3993">
        <v>5364551</v>
      </c>
      <c r="K20" s="3993">
        <v>6700593</v>
      </c>
      <c r="L20" s="3993">
        <v>5275650</v>
      </c>
      <c r="M20" s="3993">
        <v>5282662</v>
      </c>
      <c r="N20" s="3993">
        <v>4176639</v>
      </c>
      <c r="O20" s="3994">
        <v>4869491</v>
      </c>
      <c r="P20" s="3993">
        <v>4786137</v>
      </c>
      <c r="Q20" s="3993">
        <f>4789687</f>
        <v>4789687</v>
      </c>
      <c r="R20" s="3993">
        <f>4794271</f>
        <v>4794271</v>
      </c>
      <c r="S20" s="3993">
        <f>4799268</f>
        <v>4799268</v>
      </c>
      <c r="T20" s="3993">
        <f>4802772</f>
        <v>4802772</v>
      </c>
      <c r="U20" s="3993">
        <f>4797606</f>
        <v>4797606</v>
      </c>
      <c r="V20" s="3993">
        <f>4808172</f>
        <v>4808172</v>
      </c>
      <c r="W20" s="3993">
        <f>4802663</f>
        <v>4802663</v>
      </c>
      <c r="X20" s="3993">
        <f>4797265</f>
        <v>4797265</v>
      </c>
      <c r="Y20" s="3993">
        <f>4099848</f>
        <v>4099848</v>
      </c>
      <c r="Z20" s="3993">
        <f>4086221</f>
        <v>4086221</v>
      </c>
      <c r="AA20" s="3993">
        <f>2201376</f>
        <v>2201376</v>
      </c>
      <c r="AB20" s="3993">
        <f>2197324</f>
        <v>2197324</v>
      </c>
      <c r="AC20" s="3993">
        <f>1692228</f>
        <v>1692228</v>
      </c>
      <c r="AD20" s="3993">
        <f>1314063</f>
        <v>1314063</v>
      </c>
      <c r="AE20" s="3993">
        <f>989523</f>
        <v>989523</v>
      </c>
      <c r="AF20" s="3993">
        <f>683388</f>
        <v>683388</v>
      </c>
      <c r="AG20" s="4124">
        <f>683388</f>
        <v>683388</v>
      </c>
      <c r="AH20" s="4124">
        <f>683388</f>
        <v>683388</v>
      </c>
      <c r="AI20" s="4124">
        <v>0</v>
      </c>
      <c r="AJ20" s="4125">
        <v>0</v>
      </c>
    </row>
    <row r="21" spans="1:36">
      <c r="A21" s="3991" t="s">
        <v>279</v>
      </c>
      <c r="B21" s="3992">
        <v>8331324</v>
      </c>
      <c r="C21" s="3993">
        <v>8331647</v>
      </c>
      <c r="D21" s="3993">
        <v>10044038</v>
      </c>
      <c r="E21" s="3993">
        <v>8611473</v>
      </c>
      <c r="F21" s="3993">
        <v>8997210</v>
      </c>
      <c r="G21" s="3993">
        <v>10262578</v>
      </c>
      <c r="H21" s="3993">
        <v>11757465</v>
      </c>
      <c r="I21" s="3993">
        <v>13119374</v>
      </c>
      <c r="J21" s="3993">
        <v>20738001</v>
      </c>
      <c r="K21" s="3993">
        <v>27967850</v>
      </c>
      <c r="L21" s="3993">
        <v>26656511</v>
      </c>
      <c r="M21" s="3993">
        <v>31178968</v>
      </c>
      <c r="N21" s="3993">
        <f>29023485+794439</f>
        <v>29817924</v>
      </c>
      <c r="O21" s="3994">
        <v>30805687</v>
      </c>
      <c r="P21" s="3993">
        <v>28484352</v>
      </c>
      <c r="Q21" s="3993">
        <v>28018967</v>
      </c>
      <c r="R21" s="3993">
        <v>27583899</v>
      </c>
      <c r="S21" s="3993">
        <v>27766888</v>
      </c>
      <c r="T21" s="3993">
        <v>27669497</v>
      </c>
      <c r="U21" s="3993">
        <v>24669867</v>
      </c>
      <c r="V21" s="3993">
        <v>24704351</v>
      </c>
      <c r="W21" s="3993">
        <v>23122809</v>
      </c>
      <c r="X21" s="3993">
        <v>19518673</v>
      </c>
      <c r="Y21" s="3993">
        <v>19063374</v>
      </c>
      <c r="Z21" s="3993">
        <v>19063737</v>
      </c>
      <c r="AA21" s="3995">
        <v>18957286</v>
      </c>
      <c r="AB21" s="3995">
        <v>19164251</v>
      </c>
      <c r="AC21" s="3995">
        <v>18970475</v>
      </c>
      <c r="AD21" s="3995">
        <v>10866396</v>
      </c>
      <c r="AE21" s="3995">
        <v>7064786</v>
      </c>
      <c r="AF21" s="3993">
        <v>4370407</v>
      </c>
      <c r="AG21" s="4124">
        <v>806600</v>
      </c>
      <c r="AH21" s="4124">
        <v>800700</v>
      </c>
      <c r="AI21" s="4124">
        <v>0</v>
      </c>
      <c r="AJ21" s="4125">
        <v>0</v>
      </c>
    </row>
    <row r="22" spans="1:36" ht="14.4" thickBot="1">
      <c r="A22" s="3997" t="s">
        <v>639</v>
      </c>
      <c r="B22" s="3998"/>
      <c r="C22" s="3999"/>
      <c r="D22" s="3999"/>
      <c r="E22" s="3999"/>
      <c r="F22" s="3999"/>
      <c r="G22" s="3999"/>
      <c r="H22" s="3999"/>
      <c r="I22" s="3999"/>
      <c r="J22" s="3999"/>
      <c r="K22" s="3999"/>
      <c r="L22" s="3999"/>
      <c r="M22" s="3999"/>
      <c r="N22" s="3999"/>
      <c r="O22" s="4000"/>
      <c r="P22" s="4001"/>
      <c r="Q22" s="4001"/>
      <c r="R22" s="4001"/>
      <c r="S22" s="4001"/>
      <c r="T22" s="4001"/>
      <c r="U22" s="4001"/>
      <c r="V22" s="4001"/>
      <c r="W22" s="4001"/>
      <c r="X22" s="4001"/>
      <c r="Y22" s="4001"/>
      <c r="Z22" s="4001"/>
      <c r="AA22" s="4001"/>
      <c r="AB22" s="4001"/>
      <c r="AC22" s="4001"/>
      <c r="AD22" s="4001"/>
      <c r="AE22" s="4001"/>
      <c r="AF22" s="4001"/>
      <c r="AG22" s="4127"/>
      <c r="AH22" s="4127"/>
      <c r="AI22" s="4127"/>
      <c r="AJ22" s="4128"/>
    </row>
    <row r="23" spans="1:36" ht="15" thickTop="1" thickBot="1">
      <c r="A23" s="4002"/>
      <c r="B23" s="4003">
        <f>SUM(B5:B22)</f>
        <v>104595976</v>
      </c>
      <c r="C23" s="4004">
        <f t="shared" ref="C23:AJ23" si="0">SUM(C5:C22)</f>
        <v>106549896</v>
      </c>
      <c r="D23" s="4004">
        <f t="shared" si="0"/>
        <v>118691438</v>
      </c>
      <c r="E23" s="4004">
        <f t="shared" si="0"/>
        <v>113409869</v>
      </c>
      <c r="F23" s="4004">
        <f t="shared" si="0"/>
        <v>111682111</v>
      </c>
      <c r="G23" s="4004">
        <f t="shared" si="0"/>
        <v>110239554</v>
      </c>
      <c r="H23" s="4004">
        <f t="shared" si="0"/>
        <v>113400419</v>
      </c>
      <c r="I23" s="4004">
        <f t="shared" si="0"/>
        <v>131148782</v>
      </c>
      <c r="J23" s="4004">
        <f t="shared" si="0"/>
        <v>157031549</v>
      </c>
      <c r="K23" s="4004">
        <f t="shared" si="0"/>
        <v>176530354</v>
      </c>
      <c r="L23" s="4004">
        <f t="shared" si="0"/>
        <v>167538753</v>
      </c>
      <c r="M23" s="4004">
        <f t="shared" si="0"/>
        <v>177272386</v>
      </c>
      <c r="N23" s="4004">
        <f t="shared" si="0"/>
        <v>151609787</v>
      </c>
      <c r="O23" s="4005">
        <f t="shared" si="0"/>
        <v>151873910</v>
      </c>
      <c r="P23" s="4004">
        <f t="shared" si="0"/>
        <v>142264034</v>
      </c>
      <c r="Q23" s="4004">
        <f>SUM(Q5:Q22)</f>
        <v>140078175</v>
      </c>
      <c r="R23" s="4004">
        <f t="shared" si="0"/>
        <v>137469697</v>
      </c>
      <c r="S23" s="4004">
        <f t="shared" si="0"/>
        <v>129237087</v>
      </c>
      <c r="T23" s="4004">
        <f t="shared" si="0"/>
        <v>127116686</v>
      </c>
      <c r="U23" s="4004">
        <f t="shared" si="0"/>
        <v>118599594</v>
      </c>
      <c r="V23" s="4004">
        <f t="shared" si="0"/>
        <v>111257173</v>
      </c>
      <c r="W23" s="4004">
        <f t="shared" si="0"/>
        <v>109605293</v>
      </c>
      <c r="X23" s="4004">
        <f t="shared" si="0"/>
        <v>92237076</v>
      </c>
      <c r="Y23" s="4004">
        <f t="shared" si="0"/>
        <v>86215632</v>
      </c>
      <c r="Z23" s="4004">
        <f t="shared" si="0"/>
        <v>79817314</v>
      </c>
      <c r="AA23" s="4004">
        <f t="shared" si="0"/>
        <v>73067774.359999999</v>
      </c>
      <c r="AB23" s="4004">
        <f t="shared" si="0"/>
        <v>69973649</v>
      </c>
      <c r="AC23" s="4004">
        <f t="shared" si="0"/>
        <v>63827467</v>
      </c>
      <c r="AD23" s="4004">
        <f t="shared" si="0"/>
        <v>37481000</v>
      </c>
      <c r="AE23" s="4004">
        <f t="shared" si="0"/>
        <v>22703596</v>
      </c>
      <c r="AF23" s="4004">
        <f t="shared" si="0"/>
        <v>16804006</v>
      </c>
      <c r="AG23" s="4129">
        <f t="shared" si="0"/>
        <v>8656500</v>
      </c>
      <c r="AH23" s="4129">
        <f t="shared" si="0"/>
        <v>5258710</v>
      </c>
      <c r="AI23" s="4129">
        <f t="shared" si="0"/>
        <v>1043676</v>
      </c>
      <c r="AJ23" s="4130">
        <f t="shared" si="0"/>
        <v>0</v>
      </c>
    </row>
    <row r="24" spans="1:36">
      <c r="O24" s="4006">
        <f>(O23-B23)/B23</f>
        <v>0.45200528555706582</v>
      </c>
    </row>
    <row r="25" spans="1:36">
      <c r="A25" s="3991"/>
    </row>
    <row r="26" spans="1:36">
      <c r="A26" s="4103"/>
      <c r="M26" s="4008"/>
      <c r="N26" s="4007" t="s">
        <v>687</v>
      </c>
      <c r="O26" s="4008"/>
    </row>
    <row r="28" spans="1:36">
      <c r="N28" s="4008" t="str">
        <f>'Capital Projects and FR'!A26</f>
        <v>BSU Central Campus Academic &amp; Utility Improvements Phase II B</v>
      </c>
      <c r="O28" s="3996"/>
      <c r="P28" s="3993">
        <f>'Capital Projects and FR'!E26</f>
        <v>1042166.6856342962</v>
      </c>
      <c r="Q28" s="3993">
        <f>P28</f>
        <v>1042166.6856342962</v>
      </c>
      <c r="R28" s="3993">
        <f t="shared" ref="R28:AI29" si="1">Q28</f>
        <v>1042166.6856342962</v>
      </c>
      <c r="S28" s="3993">
        <f t="shared" si="1"/>
        <v>1042166.6856342962</v>
      </c>
      <c r="T28" s="3993">
        <f t="shared" si="1"/>
        <v>1042166.6856342962</v>
      </c>
      <c r="U28" s="3993">
        <f t="shared" si="1"/>
        <v>1042166.6856342962</v>
      </c>
      <c r="V28" s="3993">
        <f t="shared" si="1"/>
        <v>1042166.6856342962</v>
      </c>
      <c r="W28" s="3993">
        <f t="shared" si="1"/>
        <v>1042166.6856342962</v>
      </c>
      <c r="X28" s="3993">
        <f t="shared" si="1"/>
        <v>1042166.6856342962</v>
      </c>
      <c r="Y28" s="3993">
        <f t="shared" si="1"/>
        <v>1042166.6856342962</v>
      </c>
      <c r="Z28" s="3993">
        <f t="shared" si="1"/>
        <v>1042166.6856342962</v>
      </c>
      <c r="AA28" s="3993">
        <f t="shared" si="1"/>
        <v>1042166.6856342962</v>
      </c>
      <c r="AB28" s="3993">
        <f t="shared" si="1"/>
        <v>1042166.6856342962</v>
      </c>
      <c r="AC28" s="3993">
        <f t="shared" si="1"/>
        <v>1042166.6856342962</v>
      </c>
      <c r="AD28" s="3993">
        <f t="shared" si="1"/>
        <v>1042166.6856342962</v>
      </c>
      <c r="AE28" s="3993">
        <f t="shared" si="1"/>
        <v>1042166.6856342962</v>
      </c>
      <c r="AF28" s="3993">
        <f t="shared" si="1"/>
        <v>1042166.6856342962</v>
      </c>
      <c r="AG28" s="3993">
        <f t="shared" si="1"/>
        <v>1042166.6856342962</v>
      </c>
      <c r="AH28" s="3993">
        <f t="shared" si="1"/>
        <v>1042166.6856342962</v>
      </c>
      <c r="AI28" s="3993">
        <f t="shared" si="1"/>
        <v>1042166.6856342962</v>
      </c>
    </row>
    <row r="29" spans="1:36">
      <c r="N29" s="4008" t="str">
        <f>'Capital Projects and FR'!A27</f>
        <v>BSU Geothermal Phase I Remaining Authority</v>
      </c>
      <c r="O29" s="3996"/>
      <c r="P29" s="3993">
        <f>'Capital Projects and FR'!E27</f>
        <v>264812.8463496982</v>
      </c>
      <c r="Q29" s="3993">
        <f>P29</f>
        <v>264812.8463496982</v>
      </c>
      <c r="R29" s="3993">
        <f t="shared" si="1"/>
        <v>264812.8463496982</v>
      </c>
      <c r="S29" s="3993">
        <f t="shared" si="1"/>
        <v>264812.8463496982</v>
      </c>
      <c r="T29" s="3993">
        <f t="shared" si="1"/>
        <v>264812.8463496982</v>
      </c>
      <c r="U29" s="3993">
        <f t="shared" si="1"/>
        <v>264812.8463496982</v>
      </c>
      <c r="V29" s="3993">
        <f t="shared" si="1"/>
        <v>264812.8463496982</v>
      </c>
      <c r="W29" s="3993">
        <f t="shared" si="1"/>
        <v>264812.8463496982</v>
      </c>
      <c r="X29" s="3993">
        <f t="shared" si="1"/>
        <v>264812.8463496982</v>
      </c>
      <c r="Y29" s="3993">
        <f t="shared" si="1"/>
        <v>264812.8463496982</v>
      </c>
      <c r="Z29" s="3993">
        <f t="shared" si="1"/>
        <v>264812.8463496982</v>
      </c>
      <c r="AA29" s="3993">
        <f t="shared" si="1"/>
        <v>264812.8463496982</v>
      </c>
      <c r="AB29" s="3993">
        <f t="shared" si="1"/>
        <v>264812.8463496982</v>
      </c>
      <c r="AC29" s="3993">
        <f t="shared" si="1"/>
        <v>264812.8463496982</v>
      </c>
      <c r="AD29" s="3993">
        <f t="shared" si="1"/>
        <v>264812.8463496982</v>
      </c>
      <c r="AE29" s="3993">
        <f t="shared" si="1"/>
        <v>264812.8463496982</v>
      </c>
      <c r="AF29" s="3993">
        <f t="shared" si="1"/>
        <v>264812.8463496982</v>
      </c>
      <c r="AG29" s="3993">
        <f t="shared" si="1"/>
        <v>264812.8463496982</v>
      </c>
      <c r="AH29" s="3993">
        <f t="shared" si="1"/>
        <v>264812.8463496982</v>
      </c>
      <c r="AI29" s="3993">
        <f t="shared" si="1"/>
        <v>264812.8463496982</v>
      </c>
    </row>
    <row r="30" spans="1:36">
      <c r="N30" s="4008" t="str">
        <f>'Capital Projects and FR'!A28</f>
        <v>IPFW Northeast Indiana Innovation Center</v>
      </c>
      <c r="O30" s="3996"/>
      <c r="P30" s="3993">
        <f>'Capital Projects and FR'!E28</f>
        <v>0</v>
      </c>
      <c r="Q30" s="3993">
        <f t="shared" ref="Q30:AI30" si="2">P30</f>
        <v>0</v>
      </c>
      <c r="R30" s="3993">
        <f t="shared" si="2"/>
        <v>0</v>
      </c>
      <c r="S30" s="3993">
        <f t="shared" si="2"/>
        <v>0</v>
      </c>
      <c r="T30" s="3993">
        <f t="shared" si="2"/>
        <v>0</v>
      </c>
      <c r="U30" s="3993">
        <f t="shared" si="2"/>
        <v>0</v>
      </c>
      <c r="V30" s="3993">
        <f t="shared" si="2"/>
        <v>0</v>
      </c>
      <c r="W30" s="3993">
        <f t="shared" si="2"/>
        <v>0</v>
      </c>
      <c r="X30" s="3993">
        <f t="shared" si="2"/>
        <v>0</v>
      </c>
      <c r="Y30" s="3993">
        <f t="shared" si="2"/>
        <v>0</v>
      </c>
      <c r="Z30" s="3993">
        <f t="shared" si="2"/>
        <v>0</v>
      </c>
      <c r="AA30" s="3993">
        <f t="shared" si="2"/>
        <v>0</v>
      </c>
      <c r="AB30" s="3993">
        <f t="shared" si="2"/>
        <v>0</v>
      </c>
      <c r="AC30" s="3993">
        <f t="shared" si="2"/>
        <v>0</v>
      </c>
      <c r="AD30" s="3993">
        <f t="shared" si="2"/>
        <v>0</v>
      </c>
      <c r="AE30" s="3993">
        <f t="shared" si="2"/>
        <v>0</v>
      </c>
      <c r="AF30" s="3993">
        <f t="shared" si="2"/>
        <v>0</v>
      </c>
      <c r="AG30" s="3993">
        <f t="shared" si="2"/>
        <v>0</v>
      </c>
      <c r="AH30" s="3993">
        <f t="shared" si="2"/>
        <v>0</v>
      </c>
      <c r="AI30" s="3993">
        <f t="shared" si="2"/>
        <v>0</v>
      </c>
    </row>
    <row r="31" spans="1:36">
      <c r="N31" s="4008" t="str">
        <f>'Capital Projects and FR'!A29</f>
        <v>ISU Life Science/Chemistry Lab Renovation Phase II</v>
      </c>
      <c r="O31" s="3996"/>
      <c r="P31" s="3993">
        <f>'Capital Projects and FR'!E29</f>
        <v>384405.74470117484</v>
      </c>
      <c r="Q31" s="3993">
        <f t="shared" ref="Q31:AI31" si="3">P31</f>
        <v>384405.74470117484</v>
      </c>
      <c r="R31" s="3993">
        <f t="shared" si="3"/>
        <v>384405.74470117484</v>
      </c>
      <c r="S31" s="3993">
        <f t="shared" si="3"/>
        <v>384405.74470117484</v>
      </c>
      <c r="T31" s="3993">
        <f t="shared" si="3"/>
        <v>384405.74470117484</v>
      </c>
      <c r="U31" s="3993">
        <f t="shared" si="3"/>
        <v>384405.74470117484</v>
      </c>
      <c r="V31" s="3993">
        <f t="shared" si="3"/>
        <v>384405.74470117484</v>
      </c>
      <c r="W31" s="3993">
        <f t="shared" si="3"/>
        <v>384405.74470117484</v>
      </c>
      <c r="X31" s="3993">
        <f t="shared" si="3"/>
        <v>384405.74470117484</v>
      </c>
      <c r="Y31" s="3993">
        <f t="shared" si="3"/>
        <v>384405.74470117484</v>
      </c>
      <c r="Z31" s="3993">
        <f t="shared" si="3"/>
        <v>384405.74470117484</v>
      </c>
      <c r="AA31" s="3993">
        <f t="shared" si="3"/>
        <v>384405.74470117484</v>
      </c>
      <c r="AB31" s="3993">
        <f t="shared" si="3"/>
        <v>384405.74470117484</v>
      </c>
      <c r="AC31" s="3993">
        <f t="shared" si="3"/>
        <v>384405.74470117484</v>
      </c>
      <c r="AD31" s="3993">
        <f t="shared" si="3"/>
        <v>384405.74470117484</v>
      </c>
      <c r="AE31" s="3993">
        <f t="shared" si="3"/>
        <v>384405.74470117484</v>
      </c>
      <c r="AF31" s="3993">
        <f t="shared" si="3"/>
        <v>384405.74470117484</v>
      </c>
      <c r="AG31" s="3993">
        <f t="shared" si="3"/>
        <v>384405.74470117484</v>
      </c>
      <c r="AH31" s="3993">
        <f t="shared" si="3"/>
        <v>384405.74470117484</v>
      </c>
      <c r="AI31" s="3993">
        <f t="shared" si="3"/>
        <v>384405.74470117484</v>
      </c>
    </row>
    <row r="32" spans="1:36">
      <c r="I32" s="4104"/>
      <c r="N32" s="4008" t="str">
        <f>'Capital Projects and FR'!A30</f>
        <v>ITCCI Anderson</v>
      </c>
      <c r="O32" s="3996"/>
      <c r="P32" s="3993">
        <f>'Capital Projects and FR'!E30</f>
        <v>1708469.9764496658</v>
      </c>
      <c r="Q32" s="3993">
        <f t="shared" ref="Q32:AI32" si="4">P32</f>
        <v>1708469.9764496658</v>
      </c>
      <c r="R32" s="3993">
        <f t="shared" si="4"/>
        <v>1708469.9764496658</v>
      </c>
      <c r="S32" s="3993">
        <f t="shared" si="4"/>
        <v>1708469.9764496658</v>
      </c>
      <c r="T32" s="3993">
        <f t="shared" si="4"/>
        <v>1708469.9764496658</v>
      </c>
      <c r="U32" s="3993">
        <f t="shared" si="4"/>
        <v>1708469.9764496658</v>
      </c>
      <c r="V32" s="3993">
        <f t="shared" si="4"/>
        <v>1708469.9764496658</v>
      </c>
      <c r="W32" s="3993">
        <f t="shared" si="4"/>
        <v>1708469.9764496658</v>
      </c>
      <c r="X32" s="3993">
        <f t="shared" si="4"/>
        <v>1708469.9764496658</v>
      </c>
      <c r="Y32" s="3993">
        <f t="shared" si="4"/>
        <v>1708469.9764496658</v>
      </c>
      <c r="Z32" s="3993">
        <f t="shared" si="4"/>
        <v>1708469.9764496658</v>
      </c>
      <c r="AA32" s="3993">
        <f t="shared" si="4"/>
        <v>1708469.9764496658</v>
      </c>
      <c r="AB32" s="3993">
        <f t="shared" si="4"/>
        <v>1708469.9764496658</v>
      </c>
      <c r="AC32" s="3993">
        <f t="shared" si="4"/>
        <v>1708469.9764496658</v>
      </c>
      <c r="AD32" s="3993">
        <f t="shared" si="4"/>
        <v>1708469.9764496658</v>
      </c>
      <c r="AE32" s="3993">
        <f t="shared" si="4"/>
        <v>1708469.9764496658</v>
      </c>
      <c r="AF32" s="3993">
        <f t="shared" si="4"/>
        <v>1708469.9764496658</v>
      </c>
      <c r="AG32" s="3993">
        <f t="shared" si="4"/>
        <v>1708469.9764496658</v>
      </c>
      <c r="AH32" s="3993">
        <f t="shared" si="4"/>
        <v>1708469.9764496658</v>
      </c>
      <c r="AI32" s="3993">
        <f t="shared" si="4"/>
        <v>1708469.9764496658</v>
      </c>
    </row>
    <row r="33" spans="9:36">
      <c r="I33" s="4104"/>
      <c r="J33" s="4104"/>
      <c r="K33" s="4104"/>
      <c r="L33" s="4104"/>
      <c r="M33" s="4104"/>
      <c r="N33" s="4008" t="str">
        <f>'Capital Projects and FR'!A31</f>
        <v>ITCCI Bloomington</v>
      </c>
      <c r="O33" s="3996"/>
      <c r="P33" s="3993">
        <f>'Capital Projects and FR'!E31</f>
        <v>1708469.9764496658</v>
      </c>
      <c r="Q33" s="3993">
        <f t="shared" ref="Q33:AI34" si="5">P33</f>
        <v>1708469.9764496658</v>
      </c>
      <c r="R33" s="3993">
        <f t="shared" si="5"/>
        <v>1708469.9764496658</v>
      </c>
      <c r="S33" s="3993">
        <f t="shared" si="5"/>
        <v>1708469.9764496658</v>
      </c>
      <c r="T33" s="3993">
        <f t="shared" si="5"/>
        <v>1708469.9764496658</v>
      </c>
      <c r="U33" s="3993">
        <f t="shared" si="5"/>
        <v>1708469.9764496658</v>
      </c>
      <c r="V33" s="3993">
        <f t="shared" si="5"/>
        <v>1708469.9764496658</v>
      </c>
      <c r="W33" s="3993">
        <f t="shared" si="5"/>
        <v>1708469.9764496658</v>
      </c>
      <c r="X33" s="3993">
        <f t="shared" si="5"/>
        <v>1708469.9764496658</v>
      </c>
      <c r="Y33" s="3993">
        <f t="shared" si="5"/>
        <v>1708469.9764496658</v>
      </c>
      <c r="Z33" s="3993">
        <f t="shared" si="5"/>
        <v>1708469.9764496658</v>
      </c>
      <c r="AA33" s="3993">
        <f t="shared" si="5"/>
        <v>1708469.9764496658</v>
      </c>
      <c r="AB33" s="3993">
        <f t="shared" si="5"/>
        <v>1708469.9764496658</v>
      </c>
      <c r="AC33" s="3993">
        <f t="shared" si="5"/>
        <v>1708469.9764496658</v>
      </c>
      <c r="AD33" s="3993">
        <f t="shared" si="5"/>
        <v>1708469.9764496658</v>
      </c>
      <c r="AE33" s="3993">
        <f t="shared" si="5"/>
        <v>1708469.9764496658</v>
      </c>
      <c r="AF33" s="3993">
        <f t="shared" si="5"/>
        <v>1708469.9764496658</v>
      </c>
      <c r="AG33" s="3993">
        <f t="shared" si="5"/>
        <v>1708469.9764496658</v>
      </c>
      <c r="AH33" s="3993">
        <f t="shared" si="5"/>
        <v>1708469.9764496658</v>
      </c>
      <c r="AI33" s="3993">
        <f t="shared" si="5"/>
        <v>1708469.9764496658</v>
      </c>
    </row>
    <row r="34" spans="9:36">
      <c r="I34" s="4104"/>
      <c r="J34" s="4104"/>
      <c r="K34" s="4104"/>
      <c r="L34" s="4104"/>
      <c r="M34" s="4104"/>
      <c r="N34" s="4008" t="str">
        <f>'Capital Projects and FR'!A32</f>
        <v>ITCCI Gary</v>
      </c>
      <c r="O34" s="3996"/>
      <c r="P34" s="3993">
        <f>'Capital Projects and FR'!E32</f>
        <v>0</v>
      </c>
      <c r="Q34" s="3993">
        <f>'Capital Projects and FR'!F32</f>
        <v>0</v>
      </c>
      <c r="R34" s="3993">
        <f t="shared" si="5"/>
        <v>0</v>
      </c>
      <c r="S34" s="3993">
        <f t="shared" ref="S34:AI34" si="6">R34</f>
        <v>0</v>
      </c>
      <c r="T34" s="3993">
        <f t="shared" si="6"/>
        <v>0</v>
      </c>
      <c r="U34" s="3993">
        <f t="shared" si="6"/>
        <v>0</v>
      </c>
      <c r="V34" s="3993">
        <f t="shared" si="6"/>
        <v>0</v>
      </c>
      <c r="W34" s="3993">
        <f t="shared" si="6"/>
        <v>0</v>
      </c>
      <c r="X34" s="3993">
        <f t="shared" si="6"/>
        <v>0</v>
      </c>
      <c r="Y34" s="3993">
        <f t="shared" si="6"/>
        <v>0</v>
      </c>
      <c r="Z34" s="3993">
        <f t="shared" si="6"/>
        <v>0</v>
      </c>
      <c r="AA34" s="3993">
        <f t="shared" si="6"/>
        <v>0</v>
      </c>
      <c r="AB34" s="3993">
        <f t="shared" si="6"/>
        <v>0</v>
      </c>
      <c r="AC34" s="3993">
        <f t="shared" si="6"/>
        <v>0</v>
      </c>
      <c r="AD34" s="3993">
        <f t="shared" si="6"/>
        <v>0</v>
      </c>
      <c r="AE34" s="3993">
        <f t="shared" si="6"/>
        <v>0</v>
      </c>
      <c r="AF34" s="3993">
        <f t="shared" si="6"/>
        <v>0</v>
      </c>
      <c r="AG34" s="3993">
        <f t="shared" si="6"/>
        <v>0</v>
      </c>
      <c r="AH34" s="3993">
        <f t="shared" si="6"/>
        <v>0</v>
      </c>
      <c r="AI34" s="3993">
        <f t="shared" si="6"/>
        <v>0</v>
      </c>
      <c r="AJ34" s="3993">
        <f t="shared" ref="AJ34" si="7">AI34</f>
        <v>0</v>
      </c>
    </row>
    <row r="35" spans="9:36">
      <c r="I35" s="4104"/>
      <c r="J35" s="4104"/>
      <c r="K35" s="4104"/>
      <c r="L35" s="4104"/>
      <c r="M35" s="4104"/>
      <c r="N35" s="4008" t="str">
        <f>'Capital Projects and FR'!A33</f>
        <v>ITCCI Indianapolis Fall Creek Expansion (Balance of Auth)</v>
      </c>
      <c r="O35" s="3996"/>
      <c r="P35" s="3993">
        <f>'Capital Projects and FR'!E33</f>
        <v>1973120.5181516015</v>
      </c>
      <c r="Q35" s="3993">
        <f>P35</f>
        <v>1973120.5181516015</v>
      </c>
      <c r="R35" s="3993">
        <f t="shared" ref="R35:AI35" si="8">Q35</f>
        <v>1973120.5181516015</v>
      </c>
      <c r="S35" s="3993">
        <f t="shared" si="8"/>
        <v>1973120.5181516015</v>
      </c>
      <c r="T35" s="3993">
        <f t="shared" si="8"/>
        <v>1973120.5181516015</v>
      </c>
      <c r="U35" s="3993">
        <f t="shared" si="8"/>
        <v>1973120.5181516015</v>
      </c>
      <c r="V35" s="3993">
        <f t="shared" si="8"/>
        <v>1973120.5181516015</v>
      </c>
      <c r="W35" s="3993">
        <f t="shared" si="8"/>
        <v>1973120.5181516015</v>
      </c>
      <c r="X35" s="3993">
        <f t="shared" si="8"/>
        <v>1973120.5181516015</v>
      </c>
      <c r="Y35" s="3993">
        <f t="shared" si="8"/>
        <v>1973120.5181516015</v>
      </c>
      <c r="Z35" s="3993">
        <f t="shared" si="8"/>
        <v>1973120.5181516015</v>
      </c>
      <c r="AA35" s="3993">
        <f t="shared" si="8"/>
        <v>1973120.5181516015</v>
      </c>
      <c r="AB35" s="3993">
        <f t="shared" si="8"/>
        <v>1973120.5181516015</v>
      </c>
      <c r="AC35" s="3993">
        <f t="shared" si="8"/>
        <v>1973120.5181516015</v>
      </c>
      <c r="AD35" s="3993">
        <f t="shared" si="8"/>
        <v>1973120.5181516015</v>
      </c>
      <c r="AE35" s="3993">
        <f t="shared" si="8"/>
        <v>1973120.5181516015</v>
      </c>
      <c r="AF35" s="3993">
        <f t="shared" si="8"/>
        <v>1973120.5181516015</v>
      </c>
      <c r="AG35" s="3993">
        <f t="shared" si="8"/>
        <v>1973120.5181516015</v>
      </c>
      <c r="AH35" s="3993">
        <f t="shared" si="8"/>
        <v>1973120.5181516015</v>
      </c>
      <c r="AI35" s="3993">
        <f t="shared" si="8"/>
        <v>1973120.5181516015</v>
      </c>
    </row>
    <row r="36" spans="9:36">
      <c r="I36" s="4104"/>
      <c r="J36" s="4104"/>
      <c r="K36" s="4104"/>
      <c r="L36" s="4104"/>
      <c r="M36" s="4104"/>
      <c r="N36" s="4008" t="str">
        <f>'Capital Projects and FR'!A34</f>
        <v>IUB Academic Core Renovations Phase I</v>
      </c>
      <c r="O36" s="3996"/>
      <c r="P36" s="3993">
        <f>'Capital Projects and FR'!E34</f>
        <v>1793893.4752721491</v>
      </c>
      <c r="Q36" s="3993">
        <f>P36</f>
        <v>1793893.4752721491</v>
      </c>
      <c r="R36" s="3993">
        <f t="shared" ref="R36:AI42" si="9">Q36</f>
        <v>1793893.4752721491</v>
      </c>
      <c r="S36" s="3993">
        <f t="shared" si="9"/>
        <v>1793893.4752721491</v>
      </c>
      <c r="T36" s="3993">
        <f t="shared" si="9"/>
        <v>1793893.4752721491</v>
      </c>
      <c r="U36" s="3993">
        <f t="shared" si="9"/>
        <v>1793893.4752721491</v>
      </c>
      <c r="V36" s="3993">
        <f t="shared" si="9"/>
        <v>1793893.4752721491</v>
      </c>
      <c r="W36" s="3993">
        <f t="shared" si="9"/>
        <v>1793893.4752721491</v>
      </c>
      <c r="X36" s="3993">
        <f t="shared" si="9"/>
        <v>1793893.4752721491</v>
      </c>
      <c r="Y36" s="3993">
        <f t="shared" si="9"/>
        <v>1793893.4752721491</v>
      </c>
      <c r="Z36" s="3993">
        <f t="shared" si="9"/>
        <v>1793893.4752721491</v>
      </c>
      <c r="AA36" s="3993">
        <f t="shared" si="9"/>
        <v>1793893.4752721491</v>
      </c>
      <c r="AB36" s="3993">
        <f t="shared" si="9"/>
        <v>1793893.4752721491</v>
      </c>
      <c r="AC36" s="3993">
        <f t="shared" si="9"/>
        <v>1793893.4752721491</v>
      </c>
      <c r="AD36" s="3993">
        <f t="shared" si="9"/>
        <v>1793893.4752721491</v>
      </c>
      <c r="AE36" s="3993">
        <f t="shared" si="9"/>
        <v>1793893.4752721491</v>
      </c>
      <c r="AF36" s="3993">
        <f t="shared" si="9"/>
        <v>1793893.4752721491</v>
      </c>
      <c r="AG36" s="3993">
        <f t="shared" si="9"/>
        <v>1793893.4752721491</v>
      </c>
      <c r="AH36" s="3993">
        <f t="shared" si="9"/>
        <v>1793893.4752721491</v>
      </c>
      <c r="AI36" s="3993">
        <f t="shared" si="9"/>
        <v>1793893.4752721491</v>
      </c>
    </row>
    <row r="37" spans="9:36">
      <c r="I37" s="4104"/>
      <c r="J37" s="4104"/>
      <c r="K37" s="4104"/>
      <c r="L37" s="4013"/>
      <c r="M37" s="4013"/>
      <c r="N37" s="4014" t="str">
        <f>'Capital Projects and FR'!A35</f>
        <v>IUN Tamarck Hall Replacement</v>
      </c>
      <c r="O37" s="3996"/>
      <c r="P37" s="3993">
        <f>'Capital Projects and FR'!E35</f>
        <v>3844057.4470117483</v>
      </c>
      <c r="Q37" s="3993">
        <f t="shared" ref="Q37:AF42" si="10">P37</f>
        <v>3844057.4470117483</v>
      </c>
      <c r="R37" s="3993">
        <f t="shared" si="10"/>
        <v>3844057.4470117483</v>
      </c>
      <c r="S37" s="3993">
        <f t="shared" si="10"/>
        <v>3844057.4470117483</v>
      </c>
      <c r="T37" s="3993">
        <f t="shared" si="10"/>
        <v>3844057.4470117483</v>
      </c>
      <c r="U37" s="3993">
        <f t="shared" si="10"/>
        <v>3844057.4470117483</v>
      </c>
      <c r="V37" s="3993">
        <f t="shared" si="10"/>
        <v>3844057.4470117483</v>
      </c>
      <c r="W37" s="3993">
        <f t="shared" si="10"/>
        <v>3844057.4470117483</v>
      </c>
      <c r="X37" s="3993">
        <f t="shared" si="10"/>
        <v>3844057.4470117483</v>
      </c>
      <c r="Y37" s="3993">
        <f t="shared" si="10"/>
        <v>3844057.4470117483</v>
      </c>
      <c r="Z37" s="3993">
        <f t="shared" si="10"/>
        <v>3844057.4470117483</v>
      </c>
      <c r="AA37" s="3993">
        <f t="shared" si="10"/>
        <v>3844057.4470117483</v>
      </c>
      <c r="AB37" s="3993">
        <f t="shared" si="10"/>
        <v>3844057.4470117483</v>
      </c>
      <c r="AC37" s="3993">
        <f t="shared" si="10"/>
        <v>3844057.4470117483</v>
      </c>
      <c r="AD37" s="3993">
        <f t="shared" si="10"/>
        <v>3844057.4470117483</v>
      </c>
      <c r="AE37" s="3993">
        <f t="shared" si="10"/>
        <v>3844057.4470117483</v>
      </c>
      <c r="AF37" s="3993">
        <f t="shared" si="10"/>
        <v>3844057.4470117483</v>
      </c>
      <c r="AG37" s="3993">
        <f t="shared" si="9"/>
        <v>3844057.4470117483</v>
      </c>
      <c r="AH37" s="3993">
        <f t="shared" si="9"/>
        <v>3844057.4470117483</v>
      </c>
      <c r="AI37" s="3993">
        <f t="shared" si="9"/>
        <v>3844057.4470117483</v>
      </c>
    </row>
    <row r="38" spans="9:36">
      <c r="I38" s="4104"/>
      <c r="J38" s="4104"/>
      <c r="K38" s="4104"/>
      <c r="L38" s="4104"/>
      <c r="M38" s="4104"/>
      <c r="N38" s="4008" t="str">
        <f>'Capital Projects and FR'!A36</f>
        <v>IUS Education and Technology Building</v>
      </c>
      <c r="O38" s="3996"/>
      <c r="P38" s="3993">
        <f>'Capital Projects and FR'!E36</f>
        <v>0</v>
      </c>
      <c r="Q38" s="3993">
        <f t="shared" si="10"/>
        <v>0</v>
      </c>
      <c r="R38" s="3993">
        <f t="shared" si="9"/>
        <v>0</v>
      </c>
      <c r="S38" s="3993">
        <f t="shared" si="9"/>
        <v>0</v>
      </c>
      <c r="T38" s="3993">
        <f t="shared" si="9"/>
        <v>0</v>
      </c>
      <c r="U38" s="3993">
        <f t="shared" si="9"/>
        <v>0</v>
      </c>
      <c r="V38" s="3993">
        <f t="shared" si="9"/>
        <v>0</v>
      </c>
      <c r="W38" s="3993">
        <f t="shared" si="9"/>
        <v>0</v>
      </c>
      <c r="X38" s="3993">
        <f t="shared" si="9"/>
        <v>0</v>
      </c>
      <c r="Y38" s="3993">
        <f t="shared" si="9"/>
        <v>0</v>
      </c>
      <c r="Z38" s="3993">
        <f t="shared" si="9"/>
        <v>0</v>
      </c>
      <c r="AA38" s="3993">
        <f t="shared" si="9"/>
        <v>0</v>
      </c>
      <c r="AB38" s="3993">
        <f t="shared" si="9"/>
        <v>0</v>
      </c>
      <c r="AC38" s="3993">
        <f t="shared" si="9"/>
        <v>0</v>
      </c>
      <c r="AD38" s="3993">
        <f t="shared" si="9"/>
        <v>0</v>
      </c>
      <c r="AE38" s="3993">
        <f t="shared" si="9"/>
        <v>0</v>
      </c>
      <c r="AF38" s="3993">
        <f t="shared" si="9"/>
        <v>0</v>
      </c>
      <c r="AG38" s="3993">
        <f t="shared" si="9"/>
        <v>0</v>
      </c>
      <c r="AH38" s="3993">
        <f t="shared" si="9"/>
        <v>0</v>
      </c>
      <c r="AI38" s="3993">
        <f t="shared" si="9"/>
        <v>0</v>
      </c>
    </row>
    <row r="39" spans="9:36">
      <c r="I39" s="4104"/>
      <c r="J39" s="4104"/>
      <c r="K39" s="4104"/>
      <c r="L39" s="4104"/>
      <c r="M39" s="4104"/>
      <c r="N39" s="4008" t="str">
        <f>'Capital Projects and FR'!A37</f>
        <v>PUC Emerging Technologies Building (aka Gyte A&amp;E)</v>
      </c>
      <c r="O39" s="3996"/>
      <c r="P39" s="3993">
        <f>'Capital Projects and FR'!E37</f>
        <v>0</v>
      </c>
      <c r="Q39" s="3993">
        <f t="shared" si="10"/>
        <v>0</v>
      </c>
      <c r="R39" s="3993">
        <f t="shared" si="9"/>
        <v>0</v>
      </c>
      <c r="S39" s="3993">
        <f t="shared" si="9"/>
        <v>0</v>
      </c>
      <c r="T39" s="3993">
        <f t="shared" si="9"/>
        <v>0</v>
      </c>
      <c r="U39" s="3993">
        <f t="shared" si="9"/>
        <v>0</v>
      </c>
      <c r="V39" s="3993">
        <f t="shared" si="9"/>
        <v>0</v>
      </c>
      <c r="W39" s="3993">
        <f t="shared" si="9"/>
        <v>0</v>
      </c>
      <c r="X39" s="3993">
        <f t="shared" si="9"/>
        <v>0</v>
      </c>
      <c r="Y39" s="3993">
        <f t="shared" si="9"/>
        <v>0</v>
      </c>
      <c r="Z39" s="3993">
        <f t="shared" si="9"/>
        <v>0</v>
      </c>
      <c r="AA39" s="3993">
        <f t="shared" si="9"/>
        <v>0</v>
      </c>
      <c r="AB39" s="3993">
        <f t="shared" si="9"/>
        <v>0</v>
      </c>
      <c r="AC39" s="3993">
        <f t="shared" si="9"/>
        <v>0</v>
      </c>
      <c r="AD39" s="3993">
        <f t="shared" si="9"/>
        <v>0</v>
      </c>
      <c r="AE39" s="3993">
        <f t="shared" si="9"/>
        <v>0</v>
      </c>
      <c r="AF39" s="3993">
        <f t="shared" si="9"/>
        <v>0</v>
      </c>
      <c r="AG39" s="3993">
        <f t="shared" si="9"/>
        <v>0</v>
      </c>
      <c r="AH39" s="3993">
        <f t="shared" si="9"/>
        <v>0</v>
      </c>
      <c r="AI39" s="3993">
        <f t="shared" si="9"/>
        <v>0</v>
      </c>
    </row>
    <row r="40" spans="9:36">
      <c r="I40" s="4104"/>
      <c r="J40" s="4104"/>
      <c r="K40" s="4104"/>
      <c r="L40" s="4104"/>
      <c r="M40" s="4104"/>
      <c r="N40" s="4008" t="str">
        <f>'Capital Projects and FR'!A38</f>
        <v>PUNC Student Services and Activities Complex</v>
      </c>
      <c r="O40" s="3996"/>
      <c r="P40" s="3993">
        <f>'Capital Projects and FR'!E38</f>
        <v>2024536.922092854</v>
      </c>
      <c r="Q40" s="3993">
        <f t="shared" si="10"/>
        <v>2024536.922092854</v>
      </c>
      <c r="R40" s="3993">
        <f t="shared" si="10"/>
        <v>2024536.922092854</v>
      </c>
      <c r="S40" s="3993">
        <f t="shared" si="10"/>
        <v>2024536.922092854</v>
      </c>
      <c r="T40" s="3993">
        <f t="shared" si="10"/>
        <v>2024536.922092854</v>
      </c>
      <c r="U40" s="3993">
        <f t="shared" si="10"/>
        <v>2024536.922092854</v>
      </c>
      <c r="V40" s="3993">
        <f t="shared" si="10"/>
        <v>2024536.922092854</v>
      </c>
      <c r="W40" s="3993">
        <f t="shared" si="10"/>
        <v>2024536.922092854</v>
      </c>
      <c r="X40" s="3993">
        <f t="shared" si="10"/>
        <v>2024536.922092854</v>
      </c>
      <c r="Y40" s="3993">
        <f t="shared" si="10"/>
        <v>2024536.922092854</v>
      </c>
      <c r="Z40" s="3993">
        <f t="shared" si="10"/>
        <v>2024536.922092854</v>
      </c>
      <c r="AA40" s="3993">
        <f t="shared" si="10"/>
        <v>2024536.922092854</v>
      </c>
      <c r="AB40" s="3993">
        <f t="shared" si="10"/>
        <v>2024536.922092854</v>
      </c>
      <c r="AC40" s="3993">
        <f t="shared" si="10"/>
        <v>2024536.922092854</v>
      </c>
      <c r="AD40" s="3993">
        <f t="shared" si="10"/>
        <v>2024536.922092854</v>
      </c>
      <c r="AE40" s="3993">
        <f t="shared" si="10"/>
        <v>2024536.922092854</v>
      </c>
      <c r="AF40" s="3993">
        <f t="shared" si="10"/>
        <v>2024536.922092854</v>
      </c>
      <c r="AG40" s="3993">
        <f t="shared" si="9"/>
        <v>2024536.922092854</v>
      </c>
      <c r="AH40" s="3993">
        <f t="shared" si="9"/>
        <v>2024536.922092854</v>
      </c>
      <c r="AI40" s="3993">
        <f t="shared" si="9"/>
        <v>2024536.922092854</v>
      </c>
    </row>
    <row r="41" spans="9:36">
      <c r="I41" s="4104"/>
      <c r="J41" s="4104"/>
      <c r="K41" s="4104"/>
      <c r="L41" s="4104"/>
      <c r="M41" s="4104"/>
      <c r="N41" s="4008" t="str">
        <f>'Capital Projects and FR'!A39</f>
        <v>PUNC Student Services and Activities Complex Planning Funds</v>
      </c>
      <c r="O41" s="3996"/>
      <c r="P41" s="3993">
        <f>'Capital Projects and FR'!E39</f>
        <v>0</v>
      </c>
      <c r="Q41" s="3993">
        <f t="shared" si="10"/>
        <v>0</v>
      </c>
      <c r="R41" s="3993">
        <f t="shared" si="10"/>
        <v>0</v>
      </c>
      <c r="S41" s="3993">
        <f t="shared" si="10"/>
        <v>0</v>
      </c>
      <c r="T41" s="3993">
        <f t="shared" si="10"/>
        <v>0</v>
      </c>
      <c r="U41" s="3993">
        <f t="shared" si="10"/>
        <v>0</v>
      </c>
      <c r="V41" s="3993">
        <f t="shared" si="10"/>
        <v>0</v>
      </c>
      <c r="W41" s="3993">
        <f t="shared" si="10"/>
        <v>0</v>
      </c>
      <c r="X41" s="3993">
        <f t="shared" si="10"/>
        <v>0</v>
      </c>
      <c r="Y41" s="3993">
        <f t="shared" si="10"/>
        <v>0</v>
      </c>
      <c r="Z41" s="3993">
        <f t="shared" si="10"/>
        <v>0</v>
      </c>
      <c r="AA41" s="3993">
        <f t="shared" si="10"/>
        <v>0</v>
      </c>
      <c r="AB41" s="3993">
        <f t="shared" si="10"/>
        <v>0</v>
      </c>
      <c r="AC41" s="3993">
        <f t="shared" si="10"/>
        <v>0</v>
      </c>
      <c r="AD41" s="3993">
        <f t="shared" si="10"/>
        <v>0</v>
      </c>
      <c r="AE41" s="3993">
        <f t="shared" si="10"/>
        <v>0</v>
      </c>
      <c r="AF41" s="3993">
        <f t="shared" si="10"/>
        <v>0</v>
      </c>
      <c r="AG41" s="3993">
        <f t="shared" si="9"/>
        <v>0</v>
      </c>
      <c r="AH41" s="3993">
        <f t="shared" si="9"/>
        <v>0</v>
      </c>
      <c r="AI41" s="3993">
        <f t="shared" si="9"/>
        <v>0</v>
      </c>
    </row>
    <row r="42" spans="9:36" ht="14.4" thickBot="1">
      <c r="I42" s="4104"/>
      <c r="J42" s="4104"/>
      <c r="K42" s="4104"/>
      <c r="L42" s="4105"/>
      <c r="M42" s="4105"/>
      <c r="N42" s="4009" t="str">
        <f>'Capital Projects and FR'!A40</f>
        <v>PUWL Animal Disease Diagnostic Laboratory (BSL-3)</v>
      </c>
      <c r="O42" s="3999"/>
      <c r="P42" s="3999">
        <f>'Capital Projects and FR'!E40</f>
        <v>0</v>
      </c>
      <c r="Q42" s="3999">
        <f t="shared" si="10"/>
        <v>0</v>
      </c>
      <c r="R42" s="3999">
        <f t="shared" si="10"/>
        <v>0</v>
      </c>
      <c r="S42" s="3999">
        <f t="shared" si="10"/>
        <v>0</v>
      </c>
      <c r="T42" s="3999">
        <f t="shared" si="10"/>
        <v>0</v>
      </c>
      <c r="U42" s="3999">
        <f t="shared" si="10"/>
        <v>0</v>
      </c>
      <c r="V42" s="3999">
        <f t="shared" si="10"/>
        <v>0</v>
      </c>
      <c r="W42" s="3999">
        <f t="shared" si="10"/>
        <v>0</v>
      </c>
      <c r="X42" s="3999">
        <f t="shared" si="10"/>
        <v>0</v>
      </c>
      <c r="Y42" s="3999">
        <f t="shared" si="10"/>
        <v>0</v>
      </c>
      <c r="Z42" s="3999">
        <f t="shared" si="10"/>
        <v>0</v>
      </c>
      <c r="AA42" s="3999">
        <f t="shared" si="10"/>
        <v>0</v>
      </c>
      <c r="AB42" s="3999">
        <f t="shared" si="10"/>
        <v>0</v>
      </c>
      <c r="AC42" s="3999">
        <f t="shared" si="10"/>
        <v>0</v>
      </c>
      <c r="AD42" s="3999">
        <f t="shared" si="10"/>
        <v>0</v>
      </c>
      <c r="AE42" s="3999">
        <f t="shared" si="10"/>
        <v>0</v>
      </c>
      <c r="AF42" s="3999">
        <f t="shared" si="10"/>
        <v>0</v>
      </c>
      <c r="AG42" s="3999">
        <f t="shared" si="9"/>
        <v>0</v>
      </c>
      <c r="AH42" s="3999">
        <f t="shared" si="9"/>
        <v>0</v>
      </c>
      <c r="AI42" s="3999">
        <f t="shared" si="9"/>
        <v>0</v>
      </c>
      <c r="AJ42" s="4001"/>
    </row>
    <row r="43" spans="9:36" ht="14.4" thickTop="1">
      <c r="I43" s="4104"/>
      <c r="N43" s="4008"/>
      <c r="O43" s="4015"/>
      <c r="P43" s="4015">
        <f>SUM(P28:P42)</f>
        <v>14743933.592112854</v>
      </c>
      <c r="Q43" s="4015">
        <f t="shared" ref="Q43:AJ43" si="11">SUM(Q28:Q42)</f>
        <v>14743933.592112854</v>
      </c>
      <c r="R43" s="4015">
        <f t="shared" si="11"/>
        <v>14743933.592112854</v>
      </c>
      <c r="S43" s="4015">
        <f t="shared" si="11"/>
        <v>14743933.592112854</v>
      </c>
      <c r="T43" s="4015">
        <f t="shared" si="11"/>
        <v>14743933.592112854</v>
      </c>
      <c r="U43" s="4015">
        <f t="shared" si="11"/>
        <v>14743933.592112854</v>
      </c>
      <c r="V43" s="4015">
        <f t="shared" si="11"/>
        <v>14743933.592112854</v>
      </c>
      <c r="W43" s="4015">
        <f t="shared" si="11"/>
        <v>14743933.592112854</v>
      </c>
      <c r="X43" s="4015">
        <f t="shared" si="11"/>
        <v>14743933.592112854</v>
      </c>
      <c r="Y43" s="4015">
        <f t="shared" si="11"/>
        <v>14743933.592112854</v>
      </c>
      <c r="Z43" s="4015">
        <f t="shared" si="11"/>
        <v>14743933.592112854</v>
      </c>
      <c r="AA43" s="4015">
        <f t="shared" si="11"/>
        <v>14743933.592112854</v>
      </c>
      <c r="AB43" s="4015">
        <f t="shared" si="11"/>
        <v>14743933.592112854</v>
      </c>
      <c r="AC43" s="4015">
        <f t="shared" si="11"/>
        <v>14743933.592112854</v>
      </c>
      <c r="AD43" s="4015">
        <f t="shared" si="11"/>
        <v>14743933.592112854</v>
      </c>
      <c r="AE43" s="4015">
        <f t="shared" si="11"/>
        <v>14743933.592112854</v>
      </c>
      <c r="AF43" s="4015">
        <f t="shared" si="11"/>
        <v>14743933.592112854</v>
      </c>
      <c r="AG43" s="4015">
        <f t="shared" si="11"/>
        <v>14743933.592112854</v>
      </c>
      <c r="AH43" s="4015">
        <f t="shared" si="11"/>
        <v>14743933.592112854</v>
      </c>
      <c r="AI43" s="4015">
        <f t="shared" si="11"/>
        <v>14743933.592112854</v>
      </c>
      <c r="AJ43" s="4015">
        <f t="shared" si="11"/>
        <v>0</v>
      </c>
    </row>
    <row r="44" spans="9:36">
      <c r="I44" s="4104"/>
      <c r="N44" s="4012"/>
      <c r="O44" s="4011" t="s">
        <v>640</v>
      </c>
      <c r="P44" s="4012">
        <f t="shared" ref="P44:AJ44" si="12">P23+P43</f>
        <v>157007967.59211284</v>
      </c>
      <c r="Q44" s="4012">
        <f t="shared" si="12"/>
        <v>154822108.59211284</v>
      </c>
      <c r="R44" s="4012">
        <f t="shared" si="12"/>
        <v>152213630.59211284</v>
      </c>
      <c r="S44" s="4012">
        <f t="shared" si="12"/>
        <v>143981020.59211284</v>
      </c>
      <c r="T44" s="4012">
        <f t="shared" si="12"/>
        <v>141860619.59211284</v>
      </c>
      <c r="U44" s="4012">
        <f t="shared" si="12"/>
        <v>133343527.59211285</v>
      </c>
      <c r="V44" s="4012">
        <f t="shared" si="12"/>
        <v>126001106.59211285</v>
      </c>
      <c r="W44" s="4012">
        <f t="shared" si="12"/>
        <v>124349226.59211285</v>
      </c>
      <c r="X44" s="4012">
        <f t="shared" si="12"/>
        <v>106981009.59211285</v>
      </c>
      <c r="Y44" s="4012">
        <f t="shared" si="12"/>
        <v>100959565.59211285</v>
      </c>
      <c r="Z44" s="4012">
        <f t="shared" si="12"/>
        <v>94561247.592112854</v>
      </c>
      <c r="AA44" s="4012">
        <f t="shared" si="12"/>
        <v>87811707.952112854</v>
      </c>
      <c r="AB44" s="4012">
        <f t="shared" si="12"/>
        <v>84717582.592112854</v>
      </c>
      <c r="AC44" s="4012">
        <f t="shared" si="12"/>
        <v>78571400.592112854</v>
      </c>
      <c r="AD44" s="4012">
        <f t="shared" si="12"/>
        <v>52224933.592112854</v>
      </c>
      <c r="AE44" s="4012">
        <f t="shared" si="12"/>
        <v>37447529.592112854</v>
      </c>
      <c r="AF44" s="4012">
        <f t="shared" si="12"/>
        <v>31547939.592112854</v>
      </c>
      <c r="AG44" s="4012">
        <f t="shared" si="12"/>
        <v>23400433.592112854</v>
      </c>
      <c r="AH44" s="4012">
        <f t="shared" si="12"/>
        <v>20002643.592112854</v>
      </c>
      <c r="AI44" s="4012">
        <f t="shared" si="12"/>
        <v>15787609.592112854</v>
      </c>
      <c r="AJ44" s="4012">
        <f t="shared" si="12"/>
        <v>0</v>
      </c>
    </row>
    <row r="45" spans="9:36">
      <c r="I45" s="4104"/>
    </row>
    <row r="46" spans="9:36">
      <c r="N46" s="4007" t="s">
        <v>707</v>
      </c>
    </row>
    <row r="47" spans="9:36">
      <c r="M47" s="3996"/>
      <c r="N47" s="4008" t="str">
        <f>'Capital Projects and FR'!A44</f>
        <v>BSU College of Architecture &amp; Planning Building Renovation</v>
      </c>
      <c r="O47" s="3993"/>
      <c r="P47" s="3993"/>
      <c r="Q47" s="3993">
        <f>'Capital Projects and FR'!F44</f>
        <v>0</v>
      </c>
      <c r="R47" s="3993">
        <f>Q47</f>
        <v>0</v>
      </c>
      <c r="S47" s="3993">
        <f t="shared" ref="S47:AJ47" si="13">R47</f>
        <v>0</v>
      </c>
      <c r="T47" s="3993">
        <f t="shared" si="13"/>
        <v>0</v>
      </c>
      <c r="U47" s="3993">
        <f t="shared" si="13"/>
        <v>0</v>
      </c>
      <c r="V47" s="3993">
        <f t="shared" si="13"/>
        <v>0</v>
      </c>
      <c r="W47" s="3993">
        <f t="shared" si="13"/>
        <v>0</v>
      </c>
      <c r="X47" s="3993">
        <f t="shared" si="13"/>
        <v>0</v>
      </c>
      <c r="Y47" s="3993">
        <f t="shared" si="13"/>
        <v>0</v>
      </c>
      <c r="Z47" s="3993">
        <f t="shared" si="13"/>
        <v>0</v>
      </c>
      <c r="AA47" s="3993">
        <f t="shared" si="13"/>
        <v>0</v>
      </c>
      <c r="AB47" s="3993">
        <f t="shared" si="13"/>
        <v>0</v>
      </c>
      <c r="AC47" s="3993">
        <f t="shared" si="13"/>
        <v>0</v>
      </c>
      <c r="AD47" s="3993">
        <f t="shared" si="13"/>
        <v>0</v>
      </c>
      <c r="AE47" s="3993">
        <f t="shared" si="13"/>
        <v>0</v>
      </c>
      <c r="AF47" s="3993">
        <f t="shared" si="13"/>
        <v>0</v>
      </c>
      <c r="AG47" s="3993">
        <f t="shared" si="13"/>
        <v>0</v>
      </c>
      <c r="AH47" s="3993">
        <f t="shared" si="13"/>
        <v>0</v>
      </c>
      <c r="AI47" s="3993">
        <f t="shared" si="13"/>
        <v>0</v>
      </c>
      <c r="AJ47" s="3993">
        <f t="shared" si="13"/>
        <v>0</v>
      </c>
    </row>
    <row r="48" spans="9:36">
      <c r="M48" s="3996"/>
      <c r="N48" s="4008" t="str">
        <f>'Capital Projects and FR'!A45</f>
        <v>BSU Expansion of Tunnel Utility Systems</v>
      </c>
      <c r="O48" s="3993"/>
      <c r="P48" s="3993"/>
      <c r="Q48" s="3993">
        <f>'Capital Projects and FR'!F45</f>
        <v>0</v>
      </c>
      <c r="R48" s="3993">
        <f>Q48</f>
        <v>0</v>
      </c>
      <c r="S48" s="3993">
        <f t="shared" ref="S48:AJ52" si="14">R48</f>
        <v>0</v>
      </c>
      <c r="T48" s="3993">
        <f t="shared" si="14"/>
        <v>0</v>
      </c>
      <c r="U48" s="3993">
        <f t="shared" si="14"/>
        <v>0</v>
      </c>
      <c r="V48" s="3993">
        <f t="shared" si="14"/>
        <v>0</v>
      </c>
      <c r="W48" s="3993">
        <f t="shared" si="14"/>
        <v>0</v>
      </c>
      <c r="X48" s="3993">
        <f t="shared" si="14"/>
        <v>0</v>
      </c>
      <c r="Y48" s="3993">
        <f t="shared" si="14"/>
        <v>0</v>
      </c>
      <c r="Z48" s="3993">
        <f t="shared" si="14"/>
        <v>0</v>
      </c>
      <c r="AA48" s="3993">
        <f t="shared" si="14"/>
        <v>0</v>
      </c>
      <c r="AB48" s="3993">
        <f t="shared" si="14"/>
        <v>0</v>
      </c>
      <c r="AC48" s="3993">
        <f t="shared" si="14"/>
        <v>0</v>
      </c>
      <c r="AD48" s="3993">
        <f t="shared" si="14"/>
        <v>0</v>
      </c>
      <c r="AE48" s="3993">
        <f t="shared" si="14"/>
        <v>0</v>
      </c>
      <c r="AF48" s="3993">
        <f t="shared" si="14"/>
        <v>0</v>
      </c>
      <c r="AG48" s="3993">
        <f t="shared" si="14"/>
        <v>0</v>
      </c>
      <c r="AH48" s="3993">
        <f t="shared" si="14"/>
        <v>0</v>
      </c>
      <c r="AI48" s="3993">
        <f t="shared" si="14"/>
        <v>0</v>
      </c>
      <c r="AJ48" s="3993">
        <f t="shared" si="14"/>
        <v>0</v>
      </c>
    </row>
    <row r="49" spans="13:36">
      <c r="M49" s="3996"/>
      <c r="N49" s="4008" t="str">
        <f>'Capital Projects and FR'!A46</f>
        <v>BSU Geothermal Phase II</v>
      </c>
      <c r="O49" s="3993"/>
      <c r="P49" s="3993"/>
      <c r="Q49" s="3993">
        <f>'Capital Projects and FR'!F46</f>
        <v>0</v>
      </c>
      <c r="R49" s="3993">
        <f t="shared" ref="R49:AG52" si="15">Q49</f>
        <v>0</v>
      </c>
      <c r="S49" s="3993">
        <f t="shared" si="15"/>
        <v>0</v>
      </c>
      <c r="T49" s="3993">
        <f t="shared" si="15"/>
        <v>0</v>
      </c>
      <c r="U49" s="3993">
        <f t="shared" si="15"/>
        <v>0</v>
      </c>
      <c r="V49" s="3993">
        <f t="shared" si="15"/>
        <v>0</v>
      </c>
      <c r="W49" s="3993">
        <f t="shared" si="15"/>
        <v>0</v>
      </c>
      <c r="X49" s="3993">
        <f t="shared" si="15"/>
        <v>0</v>
      </c>
      <c r="Y49" s="3993">
        <f t="shared" si="15"/>
        <v>0</v>
      </c>
      <c r="Z49" s="3993">
        <f t="shared" si="15"/>
        <v>0</v>
      </c>
      <c r="AA49" s="3993">
        <f t="shared" si="15"/>
        <v>0</v>
      </c>
      <c r="AB49" s="3993">
        <f t="shared" si="15"/>
        <v>0</v>
      </c>
      <c r="AC49" s="3993">
        <f t="shared" si="15"/>
        <v>0</v>
      </c>
      <c r="AD49" s="3993">
        <f t="shared" si="15"/>
        <v>0</v>
      </c>
      <c r="AE49" s="3993">
        <f t="shared" si="15"/>
        <v>0</v>
      </c>
      <c r="AF49" s="3993">
        <f t="shared" si="15"/>
        <v>0</v>
      </c>
      <c r="AG49" s="3993">
        <f t="shared" si="15"/>
        <v>0</v>
      </c>
      <c r="AH49" s="3993">
        <f t="shared" si="14"/>
        <v>0</v>
      </c>
      <c r="AI49" s="3993">
        <f t="shared" si="14"/>
        <v>0</v>
      </c>
      <c r="AJ49" s="3993">
        <f t="shared" si="14"/>
        <v>0</v>
      </c>
    </row>
    <row r="50" spans="13:36">
      <c r="M50" s="3996"/>
      <c r="N50" s="4008" t="str">
        <f>'Capital Projects and FR'!A47</f>
        <v>BSU STEM and Health Facilities Renovation &amp; Expansion Phase I</v>
      </c>
      <c r="O50" s="3993"/>
      <c r="P50" s="3993"/>
      <c r="Q50" s="3993">
        <f>'Capital Projects and FR'!F47</f>
        <v>0</v>
      </c>
      <c r="R50" s="3993">
        <f t="shared" si="15"/>
        <v>0</v>
      </c>
      <c r="S50" s="3993">
        <f t="shared" si="14"/>
        <v>0</v>
      </c>
      <c r="T50" s="3993">
        <f t="shared" si="14"/>
        <v>0</v>
      </c>
      <c r="U50" s="3993">
        <f t="shared" si="14"/>
        <v>0</v>
      </c>
      <c r="V50" s="3993">
        <f t="shared" si="14"/>
        <v>0</v>
      </c>
      <c r="W50" s="3993">
        <f t="shared" si="14"/>
        <v>0</v>
      </c>
      <c r="X50" s="3993">
        <f t="shared" si="14"/>
        <v>0</v>
      </c>
      <c r="Y50" s="3993">
        <f t="shared" si="14"/>
        <v>0</v>
      </c>
      <c r="Z50" s="3993">
        <f t="shared" si="14"/>
        <v>0</v>
      </c>
      <c r="AA50" s="3993">
        <f t="shared" si="14"/>
        <v>0</v>
      </c>
      <c r="AB50" s="3993">
        <f t="shared" si="14"/>
        <v>0</v>
      </c>
      <c r="AC50" s="3993">
        <f t="shared" si="14"/>
        <v>0</v>
      </c>
      <c r="AD50" s="3993">
        <f t="shared" si="14"/>
        <v>0</v>
      </c>
      <c r="AE50" s="3993">
        <f t="shared" si="14"/>
        <v>0</v>
      </c>
      <c r="AF50" s="3993">
        <f t="shared" si="14"/>
        <v>0</v>
      </c>
      <c r="AG50" s="3993">
        <f t="shared" si="14"/>
        <v>0</v>
      </c>
      <c r="AH50" s="3993">
        <f t="shared" si="14"/>
        <v>0</v>
      </c>
      <c r="AI50" s="3993">
        <f t="shared" si="14"/>
        <v>0</v>
      </c>
      <c r="AJ50" s="3993">
        <f t="shared" si="14"/>
        <v>0</v>
      </c>
    </row>
    <row r="51" spans="13:36">
      <c r="M51" s="3996"/>
      <c r="N51" s="4008" t="str">
        <f>'Capital Projects and FR'!A48</f>
        <v>IPFW South Campus Renovations</v>
      </c>
      <c r="O51" s="3993"/>
      <c r="P51" s="3993"/>
      <c r="Q51" s="3993">
        <f>'Capital Projects and FR'!F48</f>
        <v>0</v>
      </c>
      <c r="R51" s="3993">
        <f t="shared" si="15"/>
        <v>0</v>
      </c>
      <c r="S51" s="3993">
        <f t="shared" si="14"/>
        <v>0</v>
      </c>
      <c r="T51" s="3993">
        <f t="shared" si="14"/>
        <v>0</v>
      </c>
      <c r="U51" s="3993">
        <f t="shared" si="14"/>
        <v>0</v>
      </c>
      <c r="V51" s="3993">
        <f t="shared" si="14"/>
        <v>0</v>
      </c>
      <c r="W51" s="3993">
        <f t="shared" si="14"/>
        <v>0</v>
      </c>
      <c r="X51" s="3993">
        <f t="shared" si="14"/>
        <v>0</v>
      </c>
      <c r="Y51" s="3993">
        <f t="shared" si="14"/>
        <v>0</v>
      </c>
      <c r="Z51" s="3993">
        <f t="shared" si="14"/>
        <v>0</v>
      </c>
      <c r="AA51" s="3993">
        <f t="shared" si="14"/>
        <v>0</v>
      </c>
      <c r="AB51" s="3993">
        <f t="shared" si="14"/>
        <v>0</v>
      </c>
      <c r="AC51" s="3993">
        <f t="shared" si="14"/>
        <v>0</v>
      </c>
      <c r="AD51" s="3993">
        <f t="shared" si="14"/>
        <v>0</v>
      </c>
      <c r="AE51" s="3993">
        <f t="shared" si="14"/>
        <v>0</v>
      </c>
      <c r="AF51" s="3993">
        <f t="shared" si="14"/>
        <v>0</v>
      </c>
      <c r="AG51" s="3993">
        <f t="shared" si="14"/>
        <v>0</v>
      </c>
      <c r="AH51" s="3993">
        <f t="shared" si="14"/>
        <v>0</v>
      </c>
      <c r="AI51" s="3993">
        <f t="shared" si="14"/>
        <v>0</v>
      </c>
      <c r="AJ51" s="3993">
        <f t="shared" si="14"/>
        <v>0</v>
      </c>
    </row>
    <row r="52" spans="13:36">
      <c r="M52" s="3996"/>
      <c r="N52" s="4008" t="str">
        <f>'Capital Projects and FR'!A49</f>
        <v>ISU Arena Building Phase I</v>
      </c>
      <c r="O52" s="3993"/>
      <c r="P52" s="3993"/>
      <c r="Q52" s="3993">
        <f>'Capital Projects and FR'!F49</f>
        <v>0</v>
      </c>
      <c r="R52" s="3993">
        <f t="shared" si="15"/>
        <v>0</v>
      </c>
      <c r="S52" s="3993">
        <f t="shared" si="14"/>
        <v>0</v>
      </c>
      <c r="T52" s="3993">
        <f t="shared" si="14"/>
        <v>0</v>
      </c>
      <c r="U52" s="3993">
        <f t="shared" si="14"/>
        <v>0</v>
      </c>
      <c r="V52" s="3993">
        <f t="shared" si="14"/>
        <v>0</v>
      </c>
      <c r="W52" s="3993">
        <f t="shared" si="14"/>
        <v>0</v>
      </c>
      <c r="X52" s="3993">
        <f t="shared" si="14"/>
        <v>0</v>
      </c>
      <c r="Y52" s="3993">
        <f t="shared" si="14"/>
        <v>0</v>
      </c>
      <c r="Z52" s="3993">
        <f t="shared" si="14"/>
        <v>0</v>
      </c>
      <c r="AA52" s="3993">
        <f t="shared" si="14"/>
        <v>0</v>
      </c>
      <c r="AB52" s="3993">
        <f t="shared" si="14"/>
        <v>0</v>
      </c>
      <c r="AC52" s="3993">
        <f t="shared" si="14"/>
        <v>0</v>
      </c>
      <c r="AD52" s="3993">
        <f t="shared" si="14"/>
        <v>0</v>
      </c>
      <c r="AE52" s="3993">
        <f t="shared" si="14"/>
        <v>0</v>
      </c>
      <c r="AF52" s="3993">
        <f t="shared" si="14"/>
        <v>0</v>
      </c>
      <c r="AG52" s="3993">
        <f t="shared" si="14"/>
        <v>0</v>
      </c>
      <c r="AH52" s="3993">
        <f t="shared" si="14"/>
        <v>0</v>
      </c>
      <c r="AI52" s="3993">
        <f t="shared" si="14"/>
        <v>0</v>
      </c>
      <c r="AJ52" s="3993">
        <f t="shared" si="14"/>
        <v>0</v>
      </c>
    </row>
    <row r="53" spans="13:36">
      <c r="M53" s="3996"/>
      <c r="N53" s="4008" t="str">
        <f>'Capital Projects and FR'!A50</f>
        <v>ISU Normal Hall</v>
      </c>
      <c r="O53" s="3993"/>
      <c r="P53" s="3993"/>
      <c r="Q53" s="3993">
        <f>'Capital Projects and FR'!F50</f>
        <v>0</v>
      </c>
      <c r="R53" s="3993">
        <f t="shared" ref="R53:AJ53" si="16">Q53</f>
        <v>0</v>
      </c>
      <c r="S53" s="3993">
        <f t="shared" si="16"/>
        <v>0</v>
      </c>
      <c r="T53" s="3993">
        <f t="shared" si="16"/>
        <v>0</v>
      </c>
      <c r="U53" s="3993">
        <f t="shared" si="16"/>
        <v>0</v>
      </c>
      <c r="V53" s="3993">
        <f t="shared" si="16"/>
        <v>0</v>
      </c>
      <c r="W53" s="3993">
        <f t="shared" si="16"/>
        <v>0</v>
      </c>
      <c r="X53" s="3993">
        <f t="shared" si="16"/>
        <v>0</v>
      </c>
      <c r="Y53" s="3993">
        <f t="shared" si="16"/>
        <v>0</v>
      </c>
      <c r="Z53" s="3993">
        <f t="shared" si="16"/>
        <v>0</v>
      </c>
      <c r="AA53" s="3993">
        <f t="shared" si="16"/>
        <v>0</v>
      </c>
      <c r="AB53" s="3993">
        <f t="shared" si="16"/>
        <v>0</v>
      </c>
      <c r="AC53" s="3993">
        <f t="shared" si="16"/>
        <v>0</v>
      </c>
      <c r="AD53" s="3993">
        <f t="shared" si="16"/>
        <v>0</v>
      </c>
      <c r="AE53" s="3993">
        <f t="shared" si="16"/>
        <v>0</v>
      </c>
      <c r="AF53" s="3993">
        <f t="shared" si="16"/>
        <v>0</v>
      </c>
      <c r="AG53" s="3993">
        <f t="shared" si="16"/>
        <v>0</v>
      </c>
      <c r="AH53" s="3993">
        <f t="shared" si="16"/>
        <v>0</v>
      </c>
      <c r="AI53" s="3993">
        <f t="shared" si="16"/>
        <v>0</v>
      </c>
      <c r="AJ53" s="3993">
        <f t="shared" si="16"/>
        <v>0</v>
      </c>
    </row>
    <row r="54" spans="13:36">
      <c r="M54" s="3996"/>
      <c r="N54" s="4008" t="str">
        <f>'Capital Projects and FR'!A51</f>
        <v>ITCCI Columbus Addition and Renovation</v>
      </c>
      <c r="O54" s="3993"/>
      <c r="P54" s="3993"/>
      <c r="Q54" s="3993">
        <f>'Capital Projects and FR'!F51</f>
        <v>0</v>
      </c>
      <c r="R54" s="3993">
        <f t="shared" ref="R54:AJ54" si="17">Q54</f>
        <v>0</v>
      </c>
      <c r="S54" s="3993">
        <f t="shared" si="17"/>
        <v>0</v>
      </c>
      <c r="T54" s="3993">
        <f t="shared" si="17"/>
        <v>0</v>
      </c>
      <c r="U54" s="3993">
        <f t="shared" si="17"/>
        <v>0</v>
      </c>
      <c r="V54" s="3993">
        <f t="shared" si="17"/>
        <v>0</v>
      </c>
      <c r="W54" s="3993">
        <f t="shared" si="17"/>
        <v>0</v>
      </c>
      <c r="X54" s="3993">
        <f t="shared" si="17"/>
        <v>0</v>
      </c>
      <c r="Y54" s="3993">
        <f t="shared" si="17"/>
        <v>0</v>
      </c>
      <c r="Z54" s="3993">
        <f t="shared" si="17"/>
        <v>0</v>
      </c>
      <c r="AA54" s="3993">
        <f t="shared" si="17"/>
        <v>0</v>
      </c>
      <c r="AB54" s="3993">
        <f t="shared" si="17"/>
        <v>0</v>
      </c>
      <c r="AC54" s="3993">
        <f t="shared" si="17"/>
        <v>0</v>
      </c>
      <c r="AD54" s="3993">
        <f t="shared" si="17"/>
        <v>0</v>
      </c>
      <c r="AE54" s="3993">
        <f t="shared" si="17"/>
        <v>0</v>
      </c>
      <c r="AF54" s="3993">
        <f t="shared" si="17"/>
        <v>0</v>
      </c>
      <c r="AG54" s="3993">
        <f t="shared" si="17"/>
        <v>0</v>
      </c>
      <c r="AH54" s="3993">
        <f t="shared" si="17"/>
        <v>0</v>
      </c>
      <c r="AI54" s="3993">
        <f t="shared" si="17"/>
        <v>0</v>
      </c>
      <c r="AJ54" s="3993">
        <f t="shared" si="17"/>
        <v>0</v>
      </c>
    </row>
    <row r="55" spans="13:36">
      <c r="M55" s="3996"/>
      <c r="N55" s="4008" t="str">
        <f>'Capital Projects and FR'!A52</f>
        <v>ITCCI Evansville New Campus</v>
      </c>
      <c r="O55" s="3993"/>
      <c r="P55" s="3993"/>
      <c r="Q55" s="3993">
        <f>'Capital Projects and FR'!F52</f>
        <v>0</v>
      </c>
      <c r="R55" s="3993">
        <f t="shared" ref="R55:AJ55" si="18">Q55</f>
        <v>0</v>
      </c>
      <c r="S55" s="3993">
        <f t="shared" si="18"/>
        <v>0</v>
      </c>
      <c r="T55" s="3993">
        <f t="shared" si="18"/>
        <v>0</v>
      </c>
      <c r="U55" s="3993">
        <f t="shared" si="18"/>
        <v>0</v>
      </c>
      <c r="V55" s="3993">
        <f t="shared" si="18"/>
        <v>0</v>
      </c>
      <c r="W55" s="3993">
        <f t="shared" si="18"/>
        <v>0</v>
      </c>
      <c r="X55" s="3993">
        <f t="shared" si="18"/>
        <v>0</v>
      </c>
      <c r="Y55" s="3993">
        <f t="shared" si="18"/>
        <v>0</v>
      </c>
      <c r="Z55" s="3993">
        <f t="shared" si="18"/>
        <v>0</v>
      </c>
      <c r="AA55" s="3993">
        <f t="shared" si="18"/>
        <v>0</v>
      </c>
      <c r="AB55" s="3993">
        <f t="shared" si="18"/>
        <v>0</v>
      </c>
      <c r="AC55" s="3993">
        <f t="shared" si="18"/>
        <v>0</v>
      </c>
      <c r="AD55" s="3993">
        <f t="shared" si="18"/>
        <v>0</v>
      </c>
      <c r="AE55" s="3993">
        <f t="shared" si="18"/>
        <v>0</v>
      </c>
      <c r="AF55" s="3993">
        <f t="shared" si="18"/>
        <v>0</v>
      </c>
      <c r="AG55" s="3993">
        <f t="shared" si="18"/>
        <v>0</v>
      </c>
      <c r="AH55" s="3993">
        <f t="shared" si="18"/>
        <v>0</v>
      </c>
      <c r="AI55" s="3993">
        <f t="shared" si="18"/>
        <v>0</v>
      </c>
      <c r="AJ55" s="3993">
        <f t="shared" si="18"/>
        <v>0</v>
      </c>
    </row>
    <row r="56" spans="13:36">
      <c r="M56" s="3996"/>
      <c r="N56" s="4008" t="str">
        <f>'Capital Projects and FR'!A53</f>
        <v>ITCCI Greencastle Addition</v>
      </c>
      <c r="O56" s="3993"/>
      <c r="P56" s="3993"/>
      <c r="Q56" s="3993">
        <f>'Capital Projects and FR'!F53</f>
        <v>0</v>
      </c>
      <c r="R56" s="3993">
        <f t="shared" ref="R56:AJ56" si="19">Q56</f>
        <v>0</v>
      </c>
      <c r="S56" s="3993">
        <f t="shared" si="19"/>
        <v>0</v>
      </c>
      <c r="T56" s="3993">
        <f t="shared" si="19"/>
        <v>0</v>
      </c>
      <c r="U56" s="3993">
        <f t="shared" si="19"/>
        <v>0</v>
      </c>
      <c r="V56" s="3993">
        <f t="shared" si="19"/>
        <v>0</v>
      </c>
      <c r="W56" s="3993">
        <f t="shared" si="19"/>
        <v>0</v>
      </c>
      <c r="X56" s="3993">
        <f t="shared" si="19"/>
        <v>0</v>
      </c>
      <c r="Y56" s="3993">
        <f t="shared" si="19"/>
        <v>0</v>
      </c>
      <c r="Z56" s="3993">
        <f t="shared" si="19"/>
        <v>0</v>
      </c>
      <c r="AA56" s="3993">
        <f t="shared" si="19"/>
        <v>0</v>
      </c>
      <c r="AB56" s="3993">
        <f t="shared" si="19"/>
        <v>0</v>
      </c>
      <c r="AC56" s="3993">
        <f t="shared" si="19"/>
        <v>0</v>
      </c>
      <c r="AD56" s="3993">
        <f t="shared" si="19"/>
        <v>0</v>
      </c>
      <c r="AE56" s="3993">
        <f t="shared" si="19"/>
        <v>0</v>
      </c>
      <c r="AF56" s="3993">
        <f t="shared" si="19"/>
        <v>0</v>
      </c>
      <c r="AG56" s="3993">
        <f t="shared" si="19"/>
        <v>0</v>
      </c>
      <c r="AH56" s="3993">
        <f t="shared" si="19"/>
        <v>0</v>
      </c>
      <c r="AI56" s="3993">
        <f t="shared" si="19"/>
        <v>0</v>
      </c>
      <c r="AJ56" s="3993">
        <f t="shared" si="19"/>
        <v>0</v>
      </c>
    </row>
    <row r="57" spans="13:36">
      <c r="M57" s="3996"/>
      <c r="N57" s="4008" t="str">
        <f>'Capital Projects and FR'!A54</f>
        <v>ITCCI Indianapolis New Construction and Renovation</v>
      </c>
      <c r="O57" s="3993"/>
      <c r="P57" s="3993"/>
      <c r="Q57" s="3993">
        <f>'Capital Projects and FR'!F54</f>
        <v>0</v>
      </c>
      <c r="R57" s="3993">
        <f t="shared" ref="R57:AJ57" si="20">Q57</f>
        <v>0</v>
      </c>
      <c r="S57" s="3993">
        <f t="shared" si="20"/>
        <v>0</v>
      </c>
      <c r="T57" s="3993">
        <f t="shared" si="20"/>
        <v>0</v>
      </c>
      <c r="U57" s="3993">
        <f t="shared" si="20"/>
        <v>0</v>
      </c>
      <c r="V57" s="3993">
        <f t="shared" si="20"/>
        <v>0</v>
      </c>
      <c r="W57" s="3993">
        <f t="shared" si="20"/>
        <v>0</v>
      </c>
      <c r="X57" s="3993">
        <f t="shared" si="20"/>
        <v>0</v>
      </c>
      <c r="Y57" s="3993">
        <f t="shared" si="20"/>
        <v>0</v>
      </c>
      <c r="Z57" s="3993">
        <f t="shared" si="20"/>
        <v>0</v>
      </c>
      <c r="AA57" s="3993">
        <f t="shared" si="20"/>
        <v>0</v>
      </c>
      <c r="AB57" s="3993">
        <f t="shared" si="20"/>
        <v>0</v>
      </c>
      <c r="AC57" s="3993">
        <f t="shared" si="20"/>
        <v>0</v>
      </c>
      <c r="AD57" s="3993">
        <f t="shared" si="20"/>
        <v>0</v>
      </c>
      <c r="AE57" s="3993">
        <f t="shared" si="20"/>
        <v>0</v>
      </c>
      <c r="AF57" s="3993">
        <f t="shared" si="20"/>
        <v>0</v>
      </c>
      <c r="AG57" s="3993">
        <f t="shared" si="20"/>
        <v>0</v>
      </c>
      <c r="AH57" s="3993">
        <f t="shared" si="20"/>
        <v>0</v>
      </c>
      <c r="AI57" s="3993">
        <f t="shared" si="20"/>
        <v>0</v>
      </c>
      <c r="AJ57" s="3993">
        <f t="shared" si="20"/>
        <v>0</v>
      </c>
    </row>
    <row r="58" spans="13:36">
      <c r="M58" s="3996"/>
      <c r="N58" s="4008" t="str">
        <f>'Capital Projects and FR'!A55</f>
        <v>ITCCI Kokomo New Construction and Renovation</v>
      </c>
      <c r="O58" s="3993"/>
      <c r="P58" s="3993"/>
      <c r="Q58" s="3993">
        <f>'Capital Projects and FR'!F55</f>
        <v>0</v>
      </c>
      <c r="R58" s="3993">
        <f t="shared" ref="R58:AJ58" si="21">Q58</f>
        <v>0</v>
      </c>
      <c r="S58" s="3993">
        <f t="shared" si="21"/>
        <v>0</v>
      </c>
      <c r="T58" s="3993">
        <f t="shared" si="21"/>
        <v>0</v>
      </c>
      <c r="U58" s="3993">
        <f t="shared" si="21"/>
        <v>0</v>
      </c>
      <c r="V58" s="3993">
        <f t="shared" si="21"/>
        <v>0</v>
      </c>
      <c r="W58" s="3993">
        <f t="shared" si="21"/>
        <v>0</v>
      </c>
      <c r="X58" s="3993">
        <f t="shared" si="21"/>
        <v>0</v>
      </c>
      <c r="Y58" s="3993">
        <f t="shared" si="21"/>
        <v>0</v>
      </c>
      <c r="Z58" s="3993">
        <f t="shared" si="21"/>
        <v>0</v>
      </c>
      <c r="AA58" s="3993">
        <f t="shared" si="21"/>
        <v>0</v>
      </c>
      <c r="AB58" s="3993">
        <f t="shared" si="21"/>
        <v>0</v>
      </c>
      <c r="AC58" s="3993">
        <f t="shared" si="21"/>
        <v>0</v>
      </c>
      <c r="AD58" s="3993">
        <f t="shared" si="21"/>
        <v>0</v>
      </c>
      <c r="AE58" s="3993">
        <f t="shared" si="21"/>
        <v>0</v>
      </c>
      <c r="AF58" s="3993">
        <f t="shared" si="21"/>
        <v>0</v>
      </c>
      <c r="AG58" s="3993">
        <f t="shared" si="21"/>
        <v>0</v>
      </c>
      <c r="AH58" s="3993">
        <f t="shared" si="21"/>
        <v>0</v>
      </c>
      <c r="AI58" s="3993">
        <f t="shared" si="21"/>
        <v>0</v>
      </c>
      <c r="AJ58" s="3993">
        <f t="shared" si="21"/>
        <v>0</v>
      </c>
    </row>
    <row r="59" spans="13:36">
      <c r="N59" s="4008" t="str">
        <f>'Capital Projects and FR'!A56</f>
        <v>ITCCI Lafayette Enterprise Center</v>
      </c>
      <c r="O59" s="3993"/>
      <c r="P59" s="3993"/>
      <c r="Q59" s="3993">
        <f>'Capital Projects and FR'!F56</f>
        <v>0</v>
      </c>
      <c r="R59" s="3993">
        <f t="shared" ref="R59:AJ59" si="22">Q59</f>
        <v>0</v>
      </c>
      <c r="S59" s="3993">
        <f t="shared" si="22"/>
        <v>0</v>
      </c>
      <c r="T59" s="3993">
        <f t="shared" si="22"/>
        <v>0</v>
      </c>
      <c r="U59" s="3993">
        <f t="shared" si="22"/>
        <v>0</v>
      </c>
      <c r="V59" s="3993">
        <f t="shared" si="22"/>
        <v>0</v>
      </c>
      <c r="W59" s="3993">
        <f t="shared" si="22"/>
        <v>0</v>
      </c>
      <c r="X59" s="3993">
        <f t="shared" si="22"/>
        <v>0</v>
      </c>
      <c r="Y59" s="3993">
        <f t="shared" si="22"/>
        <v>0</v>
      </c>
      <c r="Z59" s="3993">
        <f t="shared" si="22"/>
        <v>0</v>
      </c>
      <c r="AA59" s="3993">
        <f t="shared" si="22"/>
        <v>0</v>
      </c>
      <c r="AB59" s="3993">
        <f t="shared" si="22"/>
        <v>0</v>
      </c>
      <c r="AC59" s="3993">
        <f t="shared" si="22"/>
        <v>0</v>
      </c>
      <c r="AD59" s="3993">
        <f t="shared" si="22"/>
        <v>0</v>
      </c>
      <c r="AE59" s="3993">
        <f t="shared" si="22"/>
        <v>0</v>
      </c>
      <c r="AF59" s="3993">
        <f t="shared" si="22"/>
        <v>0</v>
      </c>
      <c r="AG59" s="3993">
        <f t="shared" si="22"/>
        <v>0</v>
      </c>
      <c r="AH59" s="3993">
        <f t="shared" si="22"/>
        <v>0</v>
      </c>
      <c r="AI59" s="3993">
        <f t="shared" si="22"/>
        <v>0</v>
      </c>
      <c r="AJ59" s="3993">
        <f t="shared" si="22"/>
        <v>0</v>
      </c>
    </row>
    <row r="60" spans="13:36">
      <c r="N60" s="4008" t="str">
        <f>'Capital Projects and FR'!A57</f>
        <v>ITCCI Michigan City Addition and Renovation</v>
      </c>
      <c r="O60" s="3993"/>
      <c r="P60" s="3993"/>
      <c r="Q60" s="3993">
        <f>'Capital Projects and FR'!F57</f>
        <v>0</v>
      </c>
      <c r="R60" s="3993">
        <f t="shared" ref="R60:AJ60" si="23">Q60</f>
        <v>0</v>
      </c>
      <c r="S60" s="3993">
        <f t="shared" si="23"/>
        <v>0</v>
      </c>
      <c r="T60" s="3993">
        <f t="shared" si="23"/>
        <v>0</v>
      </c>
      <c r="U60" s="3993">
        <f t="shared" si="23"/>
        <v>0</v>
      </c>
      <c r="V60" s="3993">
        <f t="shared" si="23"/>
        <v>0</v>
      </c>
      <c r="W60" s="3993">
        <f t="shared" si="23"/>
        <v>0</v>
      </c>
      <c r="X60" s="3993">
        <f t="shared" si="23"/>
        <v>0</v>
      </c>
      <c r="Y60" s="3993">
        <f t="shared" si="23"/>
        <v>0</v>
      </c>
      <c r="Z60" s="3993">
        <f t="shared" si="23"/>
        <v>0</v>
      </c>
      <c r="AA60" s="3993">
        <f t="shared" si="23"/>
        <v>0</v>
      </c>
      <c r="AB60" s="3993">
        <f t="shared" si="23"/>
        <v>0</v>
      </c>
      <c r="AC60" s="3993">
        <f t="shared" si="23"/>
        <v>0</v>
      </c>
      <c r="AD60" s="3993">
        <f t="shared" si="23"/>
        <v>0</v>
      </c>
      <c r="AE60" s="3993">
        <f t="shared" si="23"/>
        <v>0</v>
      </c>
      <c r="AF60" s="3993">
        <f t="shared" si="23"/>
        <v>0</v>
      </c>
      <c r="AG60" s="3993">
        <f t="shared" si="23"/>
        <v>0</v>
      </c>
      <c r="AH60" s="3993">
        <f t="shared" si="23"/>
        <v>0</v>
      </c>
      <c r="AI60" s="3993">
        <f t="shared" si="23"/>
        <v>0</v>
      </c>
      <c r="AJ60" s="3993">
        <f t="shared" si="23"/>
        <v>0</v>
      </c>
    </row>
    <row r="61" spans="13:36">
      <c r="N61" s="4008" t="str">
        <f>'Capital Projects and FR'!A58</f>
        <v>ITCCI Muncie New Construction and Renovation</v>
      </c>
      <c r="O61" s="3993"/>
      <c r="P61" s="3993"/>
      <c r="Q61" s="3993">
        <f>'Capital Projects and FR'!F58</f>
        <v>0</v>
      </c>
      <c r="R61" s="3993">
        <f t="shared" ref="R61:AJ61" si="24">Q61</f>
        <v>0</v>
      </c>
      <c r="S61" s="3993">
        <f t="shared" si="24"/>
        <v>0</v>
      </c>
      <c r="T61" s="3993">
        <f t="shared" si="24"/>
        <v>0</v>
      </c>
      <c r="U61" s="3993">
        <f t="shared" si="24"/>
        <v>0</v>
      </c>
      <c r="V61" s="3993">
        <f t="shared" si="24"/>
        <v>0</v>
      </c>
      <c r="W61" s="3993">
        <f t="shared" si="24"/>
        <v>0</v>
      </c>
      <c r="X61" s="3993">
        <f t="shared" si="24"/>
        <v>0</v>
      </c>
      <c r="Y61" s="3993">
        <f t="shared" si="24"/>
        <v>0</v>
      </c>
      <c r="Z61" s="3993">
        <f t="shared" si="24"/>
        <v>0</v>
      </c>
      <c r="AA61" s="3993">
        <f t="shared" si="24"/>
        <v>0</v>
      </c>
      <c r="AB61" s="3993">
        <f t="shared" si="24"/>
        <v>0</v>
      </c>
      <c r="AC61" s="3993">
        <f t="shared" si="24"/>
        <v>0</v>
      </c>
      <c r="AD61" s="3993">
        <f t="shared" si="24"/>
        <v>0</v>
      </c>
      <c r="AE61" s="3993">
        <f t="shared" si="24"/>
        <v>0</v>
      </c>
      <c r="AF61" s="3993">
        <f t="shared" si="24"/>
        <v>0</v>
      </c>
      <c r="AG61" s="3993">
        <f t="shared" si="24"/>
        <v>0</v>
      </c>
      <c r="AH61" s="3993">
        <f t="shared" si="24"/>
        <v>0</v>
      </c>
      <c r="AI61" s="3993">
        <f t="shared" si="24"/>
        <v>0</v>
      </c>
      <c r="AJ61" s="3993">
        <f t="shared" si="24"/>
        <v>0</v>
      </c>
    </row>
    <row r="62" spans="13:36">
      <c r="N62" s="4008" t="str">
        <f>'Capital Projects and FR'!A59</f>
        <v>ITCCI Sellersburg Science and Health Services Center</v>
      </c>
      <c r="O62" s="3993"/>
      <c r="P62" s="3993"/>
      <c r="Q62" s="3993">
        <f>'Capital Projects and FR'!F59</f>
        <v>0</v>
      </c>
      <c r="R62" s="3993">
        <f t="shared" ref="R62" si="25">Q62</f>
        <v>0</v>
      </c>
      <c r="S62" s="3993">
        <f t="shared" ref="S62:AJ62" si="26">R62</f>
        <v>0</v>
      </c>
      <c r="T62" s="3993">
        <f t="shared" si="26"/>
        <v>0</v>
      </c>
      <c r="U62" s="3993">
        <f t="shared" si="26"/>
        <v>0</v>
      </c>
      <c r="V62" s="3993">
        <f t="shared" si="26"/>
        <v>0</v>
      </c>
      <c r="W62" s="3993">
        <f t="shared" si="26"/>
        <v>0</v>
      </c>
      <c r="X62" s="3993">
        <f t="shared" si="26"/>
        <v>0</v>
      </c>
      <c r="Y62" s="3993">
        <f t="shared" si="26"/>
        <v>0</v>
      </c>
      <c r="Z62" s="3993">
        <f t="shared" si="26"/>
        <v>0</v>
      </c>
      <c r="AA62" s="3993">
        <f t="shared" si="26"/>
        <v>0</v>
      </c>
      <c r="AB62" s="3993">
        <f t="shared" si="26"/>
        <v>0</v>
      </c>
      <c r="AC62" s="3993">
        <f t="shared" si="26"/>
        <v>0</v>
      </c>
      <c r="AD62" s="3993">
        <f t="shared" si="26"/>
        <v>0</v>
      </c>
      <c r="AE62" s="3993">
        <f t="shared" si="26"/>
        <v>0</v>
      </c>
      <c r="AF62" s="3993">
        <f t="shared" si="26"/>
        <v>0</v>
      </c>
      <c r="AG62" s="3993">
        <f t="shared" si="26"/>
        <v>0</v>
      </c>
      <c r="AH62" s="3993">
        <f t="shared" si="26"/>
        <v>0</v>
      </c>
      <c r="AI62" s="3993">
        <f t="shared" si="26"/>
        <v>0</v>
      </c>
      <c r="AJ62" s="3993">
        <f t="shared" si="26"/>
        <v>0</v>
      </c>
    </row>
    <row r="63" spans="13:36">
      <c r="N63" s="4008" t="str">
        <f>'Capital Projects and FR'!A60</f>
        <v>ITCCI South Bend Health Sciences Building</v>
      </c>
      <c r="O63" s="3993"/>
      <c r="P63" s="3993"/>
      <c r="Q63" s="3993">
        <f>'Capital Projects and FR'!F60</f>
        <v>0</v>
      </c>
      <c r="R63" s="3993">
        <f t="shared" ref="R63:AJ63" si="27">Q63</f>
        <v>0</v>
      </c>
      <c r="S63" s="3993">
        <f t="shared" si="27"/>
        <v>0</v>
      </c>
      <c r="T63" s="3993">
        <f t="shared" si="27"/>
        <v>0</v>
      </c>
      <c r="U63" s="3993">
        <f t="shared" si="27"/>
        <v>0</v>
      </c>
      <c r="V63" s="3993">
        <f t="shared" si="27"/>
        <v>0</v>
      </c>
      <c r="W63" s="3993">
        <f t="shared" si="27"/>
        <v>0</v>
      </c>
      <c r="X63" s="3993">
        <f t="shared" si="27"/>
        <v>0</v>
      </c>
      <c r="Y63" s="3993">
        <f t="shared" si="27"/>
        <v>0</v>
      </c>
      <c r="Z63" s="3993">
        <f t="shared" si="27"/>
        <v>0</v>
      </c>
      <c r="AA63" s="3993">
        <f t="shared" si="27"/>
        <v>0</v>
      </c>
      <c r="AB63" s="3993">
        <f t="shared" si="27"/>
        <v>0</v>
      </c>
      <c r="AC63" s="3993">
        <f t="shared" si="27"/>
        <v>0</v>
      </c>
      <c r="AD63" s="3993">
        <f t="shared" si="27"/>
        <v>0</v>
      </c>
      <c r="AE63" s="3993">
        <f t="shared" si="27"/>
        <v>0</v>
      </c>
      <c r="AF63" s="3993">
        <f t="shared" si="27"/>
        <v>0</v>
      </c>
      <c r="AG63" s="3993">
        <f t="shared" si="27"/>
        <v>0</v>
      </c>
      <c r="AH63" s="3993">
        <f t="shared" si="27"/>
        <v>0</v>
      </c>
      <c r="AI63" s="3993">
        <f t="shared" si="27"/>
        <v>0</v>
      </c>
      <c r="AJ63" s="3993">
        <f t="shared" si="27"/>
        <v>0</v>
      </c>
    </row>
    <row r="64" spans="13:36">
      <c r="N64" s="4008" t="str">
        <f>'Capital Projects and FR'!A63</f>
        <v>IU Regional Campus wide Projects</v>
      </c>
      <c r="O64" s="3993"/>
      <c r="P64" s="3993"/>
      <c r="Q64" s="3993">
        <f>'Capital Projects and FR'!F63</f>
        <v>0</v>
      </c>
      <c r="R64" s="3993">
        <f t="shared" ref="R64:AJ64" si="28">Q64</f>
        <v>0</v>
      </c>
      <c r="S64" s="3993">
        <f t="shared" si="28"/>
        <v>0</v>
      </c>
      <c r="T64" s="3993">
        <f t="shared" si="28"/>
        <v>0</v>
      </c>
      <c r="U64" s="3993">
        <f t="shared" si="28"/>
        <v>0</v>
      </c>
      <c r="V64" s="3993">
        <f t="shared" si="28"/>
        <v>0</v>
      </c>
      <c r="W64" s="3993">
        <f t="shared" si="28"/>
        <v>0</v>
      </c>
      <c r="X64" s="3993">
        <f t="shared" si="28"/>
        <v>0</v>
      </c>
      <c r="Y64" s="3993">
        <f t="shared" si="28"/>
        <v>0</v>
      </c>
      <c r="Z64" s="3993">
        <f t="shared" si="28"/>
        <v>0</v>
      </c>
      <c r="AA64" s="3993">
        <f t="shared" si="28"/>
        <v>0</v>
      </c>
      <c r="AB64" s="3993">
        <f t="shared" si="28"/>
        <v>0</v>
      </c>
      <c r="AC64" s="3993">
        <f t="shared" si="28"/>
        <v>0</v>
      </c>
      <c r="AD64" s="3993">
        <f t="shared" si="28"/>
        <v>0</v>
      </c>
      <c r="AE64" s="3993">
        <f t="shared" si="28"/>
        <v>0</v>
      </c>
      <c r="AF64" s="3993">
        <f t="shared" si="28"/>
        <v>0</v>
      </c>
      <c r="AG64" s="3993">
        <f t="shared" si="28"/>
        <v>0</v>
      </c>
      <c r="AH64" s="3993">
        <f t="shared" si="28"/>
        <v>0</v>
      </c>
      <c r="AI64" s="3993">
        <f t="shared" si="28"/>
        <v>0</v>
      </c>
      <c r="AJ64" s="3993">
        <f t="shared" si="28"/>
        <v>0</v>
      </c>
    </row>
    <row r="65" spans="12:36">
      <c r="N65" s="4008" t="str">
        <f>'Capital Projects and FR'!A64</f>
        <v>IUB Campus Utility Infrastructure Repairs</v>
      </c>
      <c r="O65" s="3993"/>
      <c r="P65" s="3993"/>
      <c r="Q65" s="3993">
        <f>'Capital Projects and FR'!F64</f>
        <v>0</v>
      </c>
      <c r="R65" s="3993">
        <f t="shared" ref="R65:AJ65" si="29">Q65</f>
        <v>0</v>
      </c>
      <c r="S65" s="3993">
        <f t="shared" si="29"/>
        <v>0</v>
      </c>
      <c r="T65" s="3993">
        <f t="shared" si="29"/>
        <v>0</v>
      </c>
      <c r="U65" s="3993">
        <f t="shared" si="29"/>
        <v>0</v>
      </c>
      <c r="V65" s="3993">
        <f t="shared" si="29"/>
        <v>0</v>
      </c>
      <c r="W65" s="3993">
        <f t="shared" si="29"/>
        <v>0</v>
      </c>
      <c r="X65" s="3993">
        <f t="shared" si="29"/>
        <v>0</v>
      </c>
      <c r="Y65" s="3993">
        <f t="shared" si="29"/>
        <v>0</v>
      </c>
      <c r="Z65" s="3993">
        <f t="shared" si="29"/>
        <v>0</v>
      </c>
      <c r="AA65" s="3993">
        <f t="shared" si="29"/>
        <v>0</v>
      </c>
      <c r="AB65" s="3993">
        <f t="shared" si="29"/>
        <v>0</v>
      </c>
      <c r="AC65" s="3993">
        <f t="shared" si="29"/>
        <v>0</v>
      </c>
      <c r="AD65" s="3993">
        <f t="shared" si="29"/>
        <v>0</v>
      </c>
      <c r="AE65" s="3993">
        <f t="shared" si="29"/>
        <v>0</v>
      </c>
      <c r="AF65" s="3993">
        <f t="shared" si="29"/>
        <v>0</v>
      </c>
      <c r="AG65" s="3993">
        <f t="shared" si="29"/>
        <v>0</v>
      </c>
      <c r="AH65" s="3993">
        <f t="shared" si="29"/>
        <v>0</v>
      </c>
      <c r="AI65" s="3993">
        <f t="shared" si="29"/>
        <v>0</v>
      </c>
      <c r="AJ65" s="3993">
        <f t="shared" si="29"/>
        <v>0</v>
      </c>
    </row>
    <row r="66" spans="12:36">
      <c r="N66" s="4008" t="str">
        <f>'Capital Projects and FR'!A65</f>
        <v>IUB Ernie Pyle Hall Renovation</v>
      </c>
      <c r="O66" s="3993"/>
      <c r="P66" s="3993"/>
      <c r="Q66" s="3993">
        <f>'Capital Projects and FR'!F65</f>
        <v>0</v>
      </c>
      <c r="R66" s="3993">
        <f t="shared" ref="R66:AJ69" si="30">Q66</f>
        <v>0</v>
      </c>
      <c r="S66" s="3993">
        <f t="shared" ref="S66:AJ66" si="31">R66</f>
        <v>0</v>
      </c>
      <c r="T66" s="3993">
        <f t="shared" si="31"/>
        <v>0</v>
      </c>
      <c r="U66" s="3993">
        <f t="shared" si="31"/>
        <v>0</v>
      </c>
      <c r="V66" s="3993">
        <f t="shared" si="31"/>
        <v>0</v>
      </c>
      <c r="W66" s="3993">
        <f t="shared" si="31"/>
        <v>0</v>
      </c>
      <c r="X66" s="3993">
        <f t="shared" si="31"/>
        <v>0</v>
      </c>
      <c r="Y66" s="3993">
        <f t="shared" si="31"/>
        <v>0</v>
      </c>
      <c r="Z66" s="3993">
        <f t="shared" si="31"/>
        <v>0</v>
      </c>
      <c r="AA66" s="3993">
        <f t="shared" si="31"/>
        <v>0</v>
      </c>
      <c r="AB66" s="3993">
        <f t="shared" si="31"/>
        <v>0</v>
      </c>
      <c r="AC66" s="3993">
        <f t="shared" si="31"/>
        <v>0</v>
      </c>
      <c r="AD66" s="3993">
        <f t="shared" si="31"/>
        <v>0</v>
      </c>
      <c r="AE66" s="3993">
        <f t="shared" si="31"/>
        <v>0</v>
      </c>
      <c r="AF66" s="3993">
        <f t="shared" si="31"/>
        <v>0</v>
      </c>
      <c r="AG66" s="3993">
        <f t="shared" si="31"/>
        <v>0</v>
      </c>
      <c r="AH66" s="3993">
        <f t="shared" si="31"/>
        <v>0</v>
      </c>
      <c r="AI66" s="3993">
        <f t="shared" si="31"/>
        <v>0</v>
      </c>
      <c r="AJ66" s="3993">
        <f t="shared" si="31"/>
        <v>0</v>
      </c>
    </row>
    <row r="67" spans="12:36">
      <c r="N67" s="4008" t="str">
        <f>'Capital Projects and FR'!A66</f>
        <v>IUB Multidisciplinary Science Building Phase III</v>
      </c>
      <c r="O67" s="3993"/>
      <c r="P67" s="3993"/>
      <c r="Q67" s="3993">
        <f>'Capital Projects and FR'!F66</f>
        <v>0</v>
      </c>
      <c r="R67" s="3993">
        <f t="shared" si="30"/>
        <v>0</v>
      </c>
      <c r="S67" s="3993">
        <f t="shared" ref="S67:AJ67" si="32">R67</f>
        <v>0</v>
      </c>
      <c r="T67" s="3993">
        <f t="shared" si="32"/>
        <v>0</v>
      </c>
      <c r="U67" s="3993">
        <f t="shared" si="32"/>
        <v>0</v>
      </c>
      <c r="V67" s="3993">
        <f t="shared" si="32"/>
        <v>0</v>
      </c>
      <c r="W67" s="3993">
        <f t="shared" si="32"/>
        <v>0</v>
      </c>
      <c r="X67" s="3993">
        <f t="shared" si="32"/>
        <v>0</v>
      </c>
      <c r="Y67" s="3993">
        <f t="shared" si="32"/>
        <v>0</v>
      </c>
      <c r="Z67" s="3993">
        <f t="shared" si="32"/>
        <v>0</v>
      </c>
      <c r="AA67" s="3993">
        <f t="shared" si="32"/>
        <v>0</v>
      </c>
      <c r="AB67" s="3993">
        <f t="shared" si="32"/>
        <v>0</v>
      </c>
      <c r="AC67" s="3993">
        <f t="shared" si="32"/>
        <v>0</v>
      </c>
      <c r="AD67" s="3993">
        <f t="shared" si="32"/>
        <v>0</v>
      </c>
      <c r="AE67" s="3993">
        <f t="shared" si="32"/>
        <v>0</v>
      </c>
      <c r="AF67" s="3993">
        <f t="shared" si="32"/>
        <v>0</v>
      </c>
      <c r="AG67" s="3993">
        <f t="shared" si="32"/>
        <v>0</v>
      </c>
      <c r="AH67" s="3993">
        <f t="shared" si="32"/>
        <v>0</v>
      </c>
      <c r="AI67" s="3993">
        <f t="shared" si="32"/>
        <v>0</v>
      </c>
      <c r="AJ67" s="3993">
        <f t="shared" si="32"/>
        <v>0</v>
      </c>
    </row>
    <row r="68" spans="12:36">
      <c r="N68" s="4008" t="str">
        <f>'Capital Projects and FR'!A67</f>
        <v>IUB School of Informatics Building</v>
      </c>
      <c r="O68" s="3993"/>
      <c r="P68" s="3993"/>
      <c r="Q68" s="3993">
        <f>'Capital Projects and FR'!F67</f>
        <v>0</v>
      </c>
      <c r="R68" s="3993">
        <f t="shared" si="30"/>
        <v>0</v>
      </c>
      <c r="S68" s="3993">
        <f t="shared" si="30"/>
        <v>0</v>
      </c>
      <c r="T68" s="3993">
        <f t="shared" si="30"/>
        <v>0</v>
      </c>
      <c r="U68" s="3993">
        <f t="shared" si="30"/>
        <v>0</v>
      </c>
      <c r="V68" s="3993">
        <f t="shared" si="30"/>
        <v>0</v>
      </c>
      <c r="W68" s="3993">
        <f t="shared" si="30"/>
        <v>0</v>
      </c>
      <c r="X68" s="3993">
        <f t="shared" si="30"/>
        <v>0</v>
      </c>
      <c r="Y68" s="3993">
        <f t="shared" si="30"/>
        <v>0</v>
      </c>
      <c r="Z68" s="3993">
        <f t="shared" si="30"/>
        <v>0</v>
      </c>
      <c r="AA68" s="3993">
        <f t="shared" si="30"/>
        <v>0</v>
      </c>
      <c r="AB68" s="3993">
        <f t="shared" si="30"/>
        <v>0</v>
      </c>
      <c r="AC68" s="3993">
        <f t="shared" si="30"/>
        <v>0</v>
      </c>
      <c r="AD68" s="3993">
        <f t="shared" si="30"/>
        <v>0</v>
      </c>
      <c r="AE68" s="3993">
        <f t="shared" si="30"/>
        <v>0</v>
      </c>
      <c r="AF68" s="3993">
        <f t="shared" si="30"/>
        <v>0</v>
      </c>
      <c r="AG68" s="3993">
        <f t="shared" si="30"/>
        <v>0</v>
      </c>
      <c r="AH68" s="3993">
        <f t="shared" si="30"/>
        <v>0</v>
      </c>
      <c r="AI68" s="3993">
        <f t="shared" si="30"/>
        <v>0</v>
      </c>
      <c r="AJ68" s="3993">
        <f t="shared" si="30"/>
        <v>0</v>
      </c>
    </row>
    <row r="69" spans="12:36">
      <c r="N69" s="4008" t="str">
        <f>'Capital Projects and FR'!A68</f>
        <v>IUB Wells Library Renovation Phase I</v>
      </c>
      <c r="O69" s="3993"/>
      <c r="P69" s="3993"/>
      <c r="Q69" s="3993">
        <f>'Capital Projects and FR'!F68</f>
        <v>0</v>
      </c>
      <c r="R69" s="3993">
        <f t="shared" si="30"/>
        <v>0</v>
      </c>
      <c r="S69" s="3993">
        <f t="shared" ref="S69:AJ69" si="33">R69</f>
        <v>0</v>
      </c>
      <c r="T69" s="3993">
        <f t="shared" si="33"/>
        <v>0</v>
      </c>
      <c r="U69" s="3993">
        <f t="shared" si="33"/>
        <v>0</v>
      </c>
      <c r="V69" s="3993">
        <f t="shared" si="33"/>
        <v>0</v>
      </c>
      <c r="W69" s="3993">
        <f t="shared" si="33"/>
        <v>0</v>
      </c>
      <c r="X69" s="3993">
        <f t="shared" si="33"/>
        <v>0</v>
      </c>
      <c r="Y69" s="3993">
        <f t="shared" si="33"/>
        <v>0</v>
      </c>
      <c r="Z69" s="3993">
        <f t="shared" si="33"/>
        <v>0</v>
      </c>
      <c r="AA69" s="3993">
        <f t="shared" si="33"/>
        <v>0</v>
      </c>
      <c r="AB69" s="3993">
        <f t="shared" si="33"/>
        <v>0</v>
      </c>
      <c r="AC69" s="3993">
        <f t="shared" si="33"/>
        <v>0</v>
      </c>
      <c r="AD69" s="3993">
        <f t="shared" si="33"/>
        <v>0</v>
      </c>
      <c r="AE69" s="3993">
        <f t="shared" si="33"/>
        <v>0</v>
      </c>
      <c r="AF69" s="3993">
        <f t="shared" si="33"/>
        <v>0</v>
      </c>
      <c r="AG69" s="3993">
        <f t="shared" si="33"/>
        <v>0</v>
      </c>
      <c r="AH69" s="3993">
        <f t="shared" si="33"/>
        <v>0</v>
      </c>
      <c r="AI69" s="3993">
        <f t="shared" si="33"/>
        <v>0</v>
      </c>
      <c r="AJ69" s="3993">
        <f t="shared" si="33"/>
        <v>0</v>
      </c>
    </row>
    <row r="70" spans="12:36">
      <c r="N70" s="4008" t="str">
        <f>'Capital Projects and FR'!A69</f>
        <v>IUPUI Emerson Hall</v>
      </c>
      <c r="O70" s="3993"/>
      <c r="P70" s="3993"/>
      <c r="Q70" s="3993">
        <f>'Capital Projects and FR'!F69</f>
        <v>0</v>
      </c>
      <c r="R70" s="3993">
        <f t="shared" ref="R70:AJ70" si="34">Q70</f>
        <v>0</v>
      </c>
      <c r="S70" s="3993">
        <f t="shared" si="34"/>
        <v>0</v>
      </c>
      <c r="T70" s="3993">
        <f t="shared" si="34"/>
        <v>0</v>
      </c>
      <c r="U70" s="3993">
        <f t="shared" si="34"/>
        <v>0</v>
      </c>
      <c r="V70" s="3993">
        <f t="shared" si="34"/>
        <v>0</v>
      </c>
      <c r="W70" s="3993">
        <f t="shared" si="34"/>
        <v>0</v>
      </c>
      <c r="X70" s="3993">
        <f t="shared" si="34"/>
        <v>0</v>
      </c>
      <c r="Y70" s="3993">
        <f t="shared" si="34"/>
        <v>0</v>
      </c>
      <c r="Z70" s="3993">
        <f t="shared" si="34"/>
        <v>0</v>
      </c>
      <c r="AA70" s="3993">
        <f t="shared" si="34"/>
        <v>0</v>
      </c>
      <c r="AB70" s="3993">
        <f t="shared" si="34"/>
        <v>0</v>
      </c>
      <c r="AC70" s="3993">
        <f t="shared" si="34"/>
        <v>0</v>
      </c>
      <c r="AD70" s="3993">
        <f t="shared" si="34"/>
        <v>0</v>
      </c>
      <c r="AE70" s="3993">
        <f t="shared" si="34"/>
        <v>0</v>
      </c>
      <c r="AF70" s="3993">
        <f t="shared" si="34"/>
        <v>0</v>
      </c>
      <c r="AG70" s="3993">
        <f t="shared" si="34"/>
        <v>0</v>
      </c>
      <c r="AH70" s="3993">
        <f t="shared" si="34"/>
        <v>0</v>
      </c>
      <c r="AI70" s="3993">
        <f t="shared" si="34"/>
        <v>0</v>
      </c>
      <c r="AJ70" s="3993">
        <f t="shared" si="34"/>
        <v>0</v>
      </c>
    </row>
    <row r="71" spans="12:36">
      <c r="N71" s="4008" t="str">
        <f>'Capital Projects and FR'!A70</f>
        <v>IU SOMD Laboratory Building Expansion</v>
      </c>
      <c r="O71" s="3993"/>
      <c r="P71" s="3993"/>
      <c r="Q71" s="3993">
        <f>'Capital Projects and FR'!F70</f>
        <v>0</v>
      </c>
      <c r="R71" s="3993">
        <f t="shared" ref="R71:AJ71" si="35">Q71</f>
        <v>0</v>
      </c>
      <c r="S71" s="3993">
        <f t="shared" si="35"/>
        <v>0</v>
      </c>
      <c r="T71" s="3993">
        <f t="shared" si="35"/>
        <v>0</v>
      </c>
      <c r="U71" s="3993">
        <f t="shared" si="35"/>
        <v>0</v>
      </c>
      <c r="V71" s="3993">
        <f t="shared" si="35"/>
        <v>0</v>
      </c>
      <c r="W71" s="3993">
        <f t="shared" si="35"/>
        <v>0</v>
      </c>
      <c r="X71" s="3993">
        <f t="shared" si="35"/>
        <v>0</v>
      </c>
      <c r="Y71" s="3993">
        <f t="shared" si="35"/>
        <v>0</v>
      </c>
      <c r="Z71" s="3993">
        <f t="shared" si="35"/>
        <v>0</v>
      </c>
      <c r="AA71" s="3993">
        <f t="shared" si="35"/>
        <v>0</v>
      </c>
      <c r="AB71" s="3993">
        <f t="shared" si="35"/>
        <v>0</v>
      </c>
      <c r="AC71" s="3993">
        <f t="shared" si="35"/>
        <v>0</v>
      </c>
      <c r="AD71" s="3993">
        <f t="shared" si="35"/>
        <v>0</v>
      </c>
      <c r="AE71" s="3993">
        <f t="shared" si="35"/>
        <v>0</v>
      </c>
      <c r="AF71" s="3993">
        <f t="shared" si="35"/>
        <v>0</v>
      </c>
      <c r="AG71" s="3993">
        <f t="shared" si="35"/>
        <v>0</v>
      </c>
      <c r="AH71" s="3993">
        <f t="shared" si="35"/>
        <v>0</v>
      </c>
      <c r="AI71" s="3993">
        <f t="shared" si="35"/>
        <v>0</v>
      </c>
      <c r="AJ71" s="3993">
        <f t="shared" si="35"/>
        <v>0</v>
      </c>
    </row>
    <row r="72" spans="12:36">
      <c r="N72" s="4008" t="str">
        <f>'Capital Projects and FR'!A71</f>
        <v>IUPUI Science &amp; Engineering Lab Building Phase II</v>
      </c>
      <c r="O72" s="3993"/>
      <c r="P72" s="3993"/>
      <c r="Q72" s="3993">
        <f>'Capital Projects and FR'!F71</f>
        <v>0</v>
      </c>
      <c r="R72" s="3993">
        <f t="shared" ref="R72:AJ72" si="36">Q72</f>
        <v>0</v>
      </c>
      <c r="S72" s="3993">
        <f t="shared" si="36"/>
        <v>0</v>
      </c>
      <c r="T72" s="3993">
        <f t="shared" si="36"/>
        <v>0</v>
      </c>
      <c r="U72" s="3993">
        <f t="shared" si="36"/>
        <v>0</v>
      </c>
      <c r="V72" s="3993">
        <f t="shared" si="36"/>
        <v>0</v>
      </c>
      <c r="W72" s="3993">
        <f t="shared" si="36"/>
        <v>0</v>
      </c>
      <c r="X72" s="3993">
        <f t="shared" si="36"/>
        <v>0</v>
      </c>
      <c r="Y72" s="3993">
        <f t="shared" si="36"/>
        <v>0</v>
      </c>
      <c r="Z72" s="3993">
        <f t="shared" si="36"/>
        <v>0</v>
      </c>
      <c r="AA72" s="3993">
        <f t="shared" si="36"/>
        <v>0</v>
      </c>
      <c r="AB72" s="3993">
        <f t="shared" si="36"/>
        <v>0</v>
      </c>
      <c r="AC72" s="3993">
        <f t="shared" si="36"/>
        <v>0</v>
      </c>
      <c r="AD72" s="3993">
        <f t="shared" si="36"/>
        <v>0</v>
      </c>
      <c r="AE72" s="3993">
        <f t="shared" si="36"/>
        <v>0</v>
      </c>
      <c r="AF72" s="3993">
        <f t="shared" si="36"/>
        <v>0</v>
      </c>
      <c r="AG72" s="3993">
        <f t="shared" si="36"/>
        <v>0</v>
      </c>
      <c r="AH72" s="3993">
        <f t="shared" si="36"/>
        <v>0</v>
      </c>
      <c r="AI72" s="3993">
        <f t="shared" si="36"/>
        <v>0</v>
      </c>
      <c r="AJ72" s="3993">
        <f t="shared" si="36"/>
        <v>0</v>
      </c>
    </row>
    <row r="73" spans="12:36">
      <c r="N73" s="4008" t="str">
        <f>'Capital Projects and FR'!A72</f>
        <v>IUPUI Taylor Hall Renovation</v>
      </c>
      <c r="O73" s="3993"/>
      <c r="P73" s="3993"/>
      <c r="Q73" s="3993">
        <f>'Capital Projects and FR'!F72</f>
        <v>0</v>
      </c>
      <c r="R73" s="3993">
        <f t="shared" ref="R73:AJ73" si="37">Q73</f>
        <v>0</v>
      </c>
      <c r="S73" s="3993">
        <f t="shared" si="37"/>
        <v>0</v>
      </c>
      <c r="T73" s="3993">
        <f t="shared" si="37"/>
        <v>0</v>
      </c>
      <c r="U73" s="3993">
        <f t="shared" si="37"/>
        <v>0</v>
      </c>
      <c r="V73" s="3993">
        <f t="shared" si="37"/>
        <v>0</v>
      </c>
      <c r="W73" s="3993">
        <f t="shared" si="37"/>
        <v>0</v>
      </c>
      <c r="X73" s="3993">
        <f t="shared" si="37"/>
        <v>0</v>
      </c>
      <c r="Y73" s="3993">
        <f t="shared" si="37"/>
        <v>0</v>
      </c>
      <c r="Z73" s="3993">
        <f t="shared" si="37"/>
        <v>0</v>
      </c>
      <c r="AA73" s="3993">
        <f t="shared" si="37"/>
        <v>0</v>
      </c>
      <c r="AB73" s="3993">
        <f t="shared" si="37"/>
        <v>0</v>
      </c>
      <c r="AC73" s="3993">
        <f t="shared" si="37"/>
        <v>0</v>
      </c>
      <c r="AD73" s="3993">
        <f t="shared" si="37"/>
        <v>0</v>
      </c>
      <c r="AE73" s="3993">
        <f t="shared" si="37"/>
        <v>0</v>
      </c>
      <c r="AF73" s="3993">
        <f t="shared" si="37"/>
        <v>0</v>
      </c>
      <c r="AG73" s="3993">
        <f t="shared" si="37"/>
        <v>0</v>
      </c>
      <c r="AH73" s="3993">
        <f t="shared" si="37"/>
        <v>0</v>
      </c>
      <c r="AI73" s="3993">
        <f t="shared" si="37"/>
        <v>0</v>
      </c>
      <c r="AJ73" s="3993">
        <f t="shared" si="37"/>
        <v>0</v>
      </c>
    </row>
    <row r="74" spans="12:36">
      <c r="N74" s="4008" t="str">
        <f>'Capital Projects and FR'!A73</f>
        <v>IUPUI VanNuys Medical Science Lab Renovation Phase IV</v>
      </c>
      <c r="O74" s="3993"/>
      <c r="P74" s="3993"/>
      <c r="Q74" s="3993">
        <f>'Capital Projects and FR'!F73</f>
        <v>0</v>
      </c>
      <c r="R74" s="3993">
        <f t="shared" ref="R74:AJ75" si="38">Q74</f>
        <v>0</v>
      </c>
      <c r="S74" s="3993">
        <f t="shared" si="38"/>
        <v>0</v>
      </c>
      <c r="T74" s="3993">
        <f t="shared" si="38"/>
        <v>0</v>
      </c>
      <c r="U74" s="3993">
        <f t="shared" si="38"/>
        <v>0</v>
      </c>
      <c r="V74" s="3993">
        <f t="shared" si="38"/>
        <v>0</v>
      </c>
      <c r="W74" s="3993">
        <f t="shared" si="38"/>
        <v>0</v>
      </c>
      <c r="X74" s="3993">
        <f t="shared" si="38"/>
        <v>0</v>
      </c>
      <c r="Y74" s="3993">
        <f t="shared" si="38"/>
        <v>0</v>
      </c>
      <c r="Z74" s="3993">
        <f t="shared" si="38"/>
        <v>0</v>
      </c>
      <c r="AA74" s="3993">
        <f t="shared" si="38"/>
        <v>0</v>
      </c>
      <c r="AB74" s="3993">
        <f t="shared" si="38"/>
        <v>0</v>
      </c>
      <c r="AC74" s="3993">
        <f t="shared" si="38"/>
        <v>0</v>
      </c>
      <c r="AD74" s="3993">
        <f t="shared" si="38"/>
        <v>0</v>
      </c>
      <c r="AE74" s="3993">
        <f t="shared" si="38"/>
        <v>0</v>
      </c>
      <c r="AF74" s="3993">
        <f t="shared" si="38"/>
        <v>0</v>
      </c>
      <c r="AG74" s="3993">
        <f t="shared" si="38"/>
        <v>0</v>
      </c>
      <c r="AH74" s="3993">
        <f t="shared" si="38"/>
        <v>0</v>
      </c>
      <c r="AI74" s="3993">
        <f t="shared" si="38"/>
        <v>0</v>
      </c>
      <c r="AJ74" s="3993">
        <f t="shared" si="38"/>
        <v>0</v>
      </c>
    </row>
    <row r="75" spans="12:36">
      <c r="N75" s="4008" t="str">
        <f>'Capital Projects and FR'!A74</f>
        <v>PUC Emerging Technologies Building</v>
      </c>
      <c r="O75" s="3993"/>
      <c r="P75" s="3993"/>
      <c r="Q75" s="3993">
        <f>'Capital Projects and FR'!F74</f>
        <v>0</v>
      </c>
      <c r="R75" s="3993">
        <f t="shared" si="38"/>
        <v>0</v>
      </c>
      <c r="S75" s="3993">
        <f t="shared" ref="S75:AJ75" si="39">R75</f>
        <v>0</v>
      </c>
      <c r="T75" s="3993">
        <f t="shared" si="39"/>
        <v>0</v>
      </c>
      <c r="U75" s="3993">
        <f t="shared" si="39"/>
        <v>0</v>
      </c>
      <c r="V75" s="3993">
        <f t="shared" si="39"/>
        <v>0</v>
      </c>
      <c r="W75" s="3993">
        <f t="shared" si="39"/>
        <v>0</v>
      </c>
      <c r="X75" s="3993">
        <f t="shared" si="39"/>
        <v>0</v>
      </c>
      <c r="Y75" s="3993">
        <f t="shared" si="39"/>
        <v>0</v>
      </c>
      <c r="Z75" s="3993">
        <f t="shared" si="39"/>
        <v>0</v>
      </c>
      <c r="AA75" s="3993">
        <f t="shared" si="39"/>
        <v>0</v>
      </c>
      <c r="AB75" s="3993">
        <f t="shared" si="39"/>
        <v>0</v>
      </c>
      <c r="AC75" s="3993">
        <f t="shared" si="39"/>
        <v>0</v>
      </c>
      <c r="AD75" s="3993">
        <f t="shared" si="39"/>
        <v>0</v>
      </c>
      <c r="AE75" s="3993">
        <f t="shared" si="39"/>
        <v>0</v>
      </c>
      <c r="AF75" s="3993">
        <f t="shared" si="39"/>
        <v>0</v>
      </c>
      <c r="AG75" s="3993">
        <f t="shared" si="39"/>
        <v>0</v>
      </c>
      <c r="AH75" s="3993">
        <f t="shared" si="39"/>
        <v>0</v>
      </c>
      <c r="AI75" s="3993">
        <f t="shared" si="39"/>
        <v>0</v>
      </c>
      <c r="AJ75" s="3993">
        <f t="shared" si="39"/>
        <v>0</v>
      </c>
    </row>
    <row r="76" spans="12:36">
      <c r="N76" s="4008" t="str">
        <f>'Capital Projects and FR'!A75</f>
        <v>PUWL Active Learning Center</v>
      </c>
      <c r="O76" s="3993"/>
      <c r="P76" s="3993"/>
      <c r="Q76" s="3993">
        <f>'Capital Projects and FR'!F75</f>
        <v>0</v>
      </c>
      <c r="R76" s="3993">
        <f t="shared" ref="R76:AJ76" si="40">Q76</f>
        <v>0</v>
      </c>
      <c r="S76" s="3993">
        <f t="shared" si="40"/>
        <v>0</v>
      </c>
      <c r="T76" s="3993">
        <f t="shared" si="40"/>
        <v>0</v>
      </c>
      <c r="U76" s="3993">
        <f t="shared" si="40"/>
        <v>0</v>
      </c>
      <c r="V76" s="3993">
        <f t="shared" si="40"/>
        <v>0</v>
      </c>
      <c r="W76" s="3993">
        <f t="shared" si="40"/>
        <v>0</v>
      </c>
      <c r="X76" s="3993">
        <f t="shared" si="40"/>
        <v>0</v>
      </c>
      <c r="Y76" s="3993">
        <f t="shared" si="40"/>
        <v>0</v>
      </c>
      <c r="Z76" s="3993">
        <f t="shared" si="40"/>
        <v>0</v>
      </c>
      <c r="AA76" s="3993">
        <f t="shared" si="40"/>
        <v>0</v>
      </c>
      <c r="AB76" s="3993">
        <f t="shared" si="40"/>
        <v>0</v>
      </c>
      <c r="AC76" s="3993">
        <f t="shared" si="40"/>
        <v>0</v>
      </c>
      <c r="AD76" s="3993">
        <f t="shared" si="40"/>
        <v>0</v>
      </c>
      <c r="AE76" s="3993">
        <f t="shared" si="40"/>
        <v>0</v>
      </c>
      <c r="AF76" s="3993">
        <f t="shared" si="40"/>
        <v>0</v>
      </c>
      <c r="AG76" s="3993">
        <f t="shared" si="40"/>
        <v>0</v>
      </c>
      <c r="AH76" s="3993">
        <f t="shared" si="40"/>
        <v>0</v>
      </c>
      <c r="AI76" s="3993">
        <f t="shared" si="40"/>
        <v>0</v>
      </c>
      <c r="AJ76" s="3993">
        <f t="shared" si="40"/>
        <v>0</v>
      </c>
    </row>
    <row r="77" spans="12:36">
      <c r="N77" s="4008" t="str">
        <f>'Capital Projects and FR'!A76</f>
        <v>USI Classroom Renovation/Expansion</v>
      </c>
      <c r="O77" s="3993"/>
      <c r="P77" s="3993"/>
      <c r="Q77" s="3993">
        <f>'Capital Projects and FR'!F76</f>
        <v>0</v>
      </c>
      <c r="R77" s="3993">
        <f t="shared" ref="R77:AJ77" si="41">Q77</f>
        <v>0</v>
      </c>
      <c r="S77" s="3993">
        <f t="shared" si="41"/>
        <v>0</v>
      </c>
      <c r="T77" s="3993">
        <f t="shared" si="41"/>
        <v>0</v>
      </c>
      <c r="U77" s="3993">
        <f t="shared" si="41"/>
        <v>0</v>
      </c>
      <c r="V77" s="3993">
        <f t="shared" si="41"/>
        <v>0</v>
      </c>
      <c r="W77" s="3993">
        <f t="shared" si="41"/>
        <v>0</v>
      </c>
      <c r="X77" s="3993">
        <f t="shared" si="41"/>
        <v>0</v>
      </c>
      <c r="Y77" s="3993">
        <f t="shared" si="41"/>
        <v>0</v>
      </c>
      <c r="Z77" s="3993">
        <f t="shared" si="41"/>
        <v>0</v>
      </c>
      <c r="AA77" s="3993">
        <f t="shared" si="41"/>
        <v>0</v>
      </c>
      <c r="AB77" s="3993">
        <f t="shared" si="41"/>
        <v>0</v>
      </c>
      <c r="AC77" s="3993">
        <f t="shared" si="41"/>
        <v>0</v>
      </c>
      <c r="AD77" s="3993">
        <f t="shared" si="41"/>
        <v>0</v>
      </c>
      <c r="AE77" s="3993">
        <f t="shared" si="41"/>
        <v>0</v>
      </c>
      <c r="AF77" s="3993">
        <f t="shared" si="41"/>
        <v>0</v>
      </c>
      <c r="AG77" s="3993">
        <f t="shared" si="41"/>
        <v>0</v>
      </c>
      <c r="AH77" s="3993">
        <f t="shared" si="41"/>
        <v>0</v>
      </c>
      <c r="AI77" s="3993">
        <f t="shared" si="41"/>
        <v>0</v>
      </c>
      <c r="AJ77" s="3993">
        <f t="shared" si="41"/>
        <v>0</v>
      </c>
    </row>
    <row r="78" spans="12:36">
      <c r="N78" s="4008" t="str">
        <f>'Capital Projects and FR'!A77</f>
        <v>VU Aviation Technology Center Rehabilitation</v>
      </c>
      <c r="O78" s="3993"/>
      <c r="P78" s="3993"/>
      <c r="Q78" s="3993">
        <f>'Capital Projects and FR'!F77</f>
        <v>0</v>
      </c>
      <c r="R78" s="3993">
        <f t="shared" ref="R78:AJ78" si="42">Q78</f>
        <v>0</v>
      </c>
      <c r="S78" s="3993">
        <f t="shared" si="42"/>
        <v>0</v>
      </c>
      <c r="T78" s="3993">
        <f t="shared" si="42"/>
        <v>0</v>
      </c>
      <c r="U78" s="3993">
        <f t="shared" si="42"/>
        <v>0</v>
      </c>
      <c r="V78" s="3993">
        <f t="shared" si="42"/>
        <v>0</v>
      </c>
      <c r="W78" s="3993">
        <f t="shared" si="42"/>
        <v>0</v>
      </c>
      <c r="X78" s="3993">
        <f t="shared" si="42"/>
        <v>0</v>
      </c>
      <c r="Y78" s="3993">
        <f t="shared" si="42"/>
        <v>0</v>
      </c>
      <c r="Z78" s="3993">
        <f t="shared" si="42"/>
        <v>0</v>
      </c>
      <c r="AA78" s="3993">
        <f t="shared" si="42"/>
        <v>0</v>
      </c>
      <c r="AB78" s="3993">
        <f t="shared" si="42"/>
        <v>0</v>
      </c>
      <c r="AC78" s="3993">
        <f t="shared" si="42"/>
        <v>0</v>
      </c>
      <c r="AD78" s="3993">
        <f t="shared" si="42"/>
        <v>0</v>
      </c>
      <c r="AE78" s="3993">
        <f t="shared" si="42"/>
        <v>0</v>
      </c>
      <c r="AF78" s="3993">
        <f t="shared" si="42"/>
        <v>0</v>
      </c>
      <c r="AG78" s="3993">
        <f t="shared" si="42"/>
        <v>0</v>
      </c>
      <c r="AH78" s="3993">
        <f t="shared" si="42"/>
        <v>0</v>
      </c>
      <c r="AI78" s="3993">
        <f t="shared" si="42"/>
        <v>0</v>
      </c>
      <c r="AJ78" s="3993">
        <f t="shared" si="42"/>
        <v>0</v>
      </c>
    </row>
    <row r="79" spans="12:36">
      <c r="N79" s="4008" t="str">
        <f>'Capital Projects and FR'!A78</f>
        <v>VU Infrastructure Project (Electrical/Steamline Replacement)</v>
      </c>
      <c r="O79" s="3993"/>
      <c r="P79" s="3993"/>
      <c r="Q79" s="3993">
        <f>'Capital Projects and FR'!F78</f>
        <v>0</v>
      </c>
      <c r="R79" s="3993">
        <f t="shared" ref="R79:AJ79" si="43">Q79</f>
        <v>0</v>
      </c>
      <c r="S79" s="3993">
        <f t="shared" si="43"/>
        <v>0</v>
      </c>
      <c r="T79" s="3993">
        <f t="shared" si="43"/>
        <v>0</v>
      </c>
      <c r="U79" s="3993">
        <f t="shared" si="43"/>
        <v>0</v>
      </c>
      <c r="V79" s="3993">
        <f t="shared" si="43"/>
        <v>0</v>
      </c>
      <c r="W79" s="3993">
        <f t="shared" si="43"/>
        <v>0</v>
      </c>
      <c r="X79" s="3993">
        <f t="shared" si="43"/>
        <v>0</v>
      </c>
      <c r="Y79" s="3993">
        <f t="shared" si="43"/>
        <v>0</v>
      </c>
      <c r="Z79" s="3993">
        <f t="shared" si="43"/>
        <v>0</v>
      </c>
      <c r="AA79" s="3993">
        <f t="shared" si="43"/>
        <v>0</v>
      </c>
      <c r="AB79" s="3993">
        <f t="shared" si="43"/>
        <v>0</v>
      </c>
      <c r="AC79" s="3993">
        <f t="shared" si="43"/>
        <v>0</v>
      </c>
      <c r="AD79" s="3993">
        <f t="shared" si="43"/>
        <v>0</v>
      </c>
      <c r="AE79" s="3993">
        <f t="shared" si="43"/>
        <v>0</v>
      </c>
      <c r="AF79" s="3993">
        <f t="shared" si="43"/>
        <v>0</v>
      </c>
      <c r="AG79" s="3993">
        <f t="shared" si="43"/>
        <v>0</v>
      </c>
      <c r="AH79" s="3993">
        <f t="shared" si="43"/>
        <v>0</v>
      </c>
      <c r="AI79" s="3993">
        <f t="shared" si="43"/>
        <v>0</v>
      </c>
      <c r="AJ79" s="3993">
        <f t="shared" si="43"/>
        <v>0</v>
      </c>
    </row>
    <row r="80" spans="12:36" ht="14.4" thickBot="1">
      <c r="L80" s="4001"/>
      <c r="M80" s="4001"/>
      <c r="N80" s="4009" t="str">
        <f>'Capital Projects and FR'!A79</f>
        <v>VU New Science Building</v>
      </c>
      <c r="O80" s="3999"/>
      <c r="P80" s="3999"/>
      <c r="Q80" s="3999">
        <f>'Capital Projects and FR'!F79</f>
        <v>0</v>
      </c>
      <c r="R80" s="3999">
        <f t="shared" ref="R80:AJ80" si="44">Q80</f>
        <v>0</v>
      </c>
      <c r="S80" s="3999">
        <f t="shared" si="44"/>
        <v>0</v>
      </c>
      <c r="T80" s="3999">
        <f t="shared" si="44"/>
        <v>0</v>
      </c>
      <c r="U80" s="3999">
        <f t="shared" si="44"/>
        <v>0</v>
      </c>
      <c r="V80" s="3999">
        <f t="shared" si="44"/>
        <v>0</v>
      </c>
      <c r="W80" s="3999">
        <f t="shared" si="44"/>
        <v>0</v>
      </c>
      <c r="X80" s="3999">
        <f t="shared" si="44"/>
        <v>0</v>
      </c>
      <c r="Y80" s="3999">
        <f t="shared" si="44"/>
        <v>0</v>
      </c>
      <c r="Z80" s="3999">
        <f t="shared" si="44"/>
        <v>0</v>
      </c>
      <c r="AA80" s="3999">
        <f t="shared" si="44"/>
        <v>0</v>
      </c>
      <c r="AB80" s="3999">
        <f t="shared" si="44"/>
        <v>0</v>
      </c>
      <c r="AC80" s="3999">
        <f t="shared" si="44"/>
        <v>0</v>
      </c>
      <c r="AD80" s="3999">
        <f t="shared" si="44"/>
        <v>0</v>
      </c>
      <c r="AE80" s="3999">
        <f t="shared" si="44"/>
        <v>0</v>
      </c>
      <c r="AF80" s="3999">
        <f t="shared" si="44"/>
        <v>0</v>
      </c>
      <c r="AG80" s="3999">
        <f t="shared" si="44"/>
        <v>0</v>
      </c>
      <c r="AH80" s="3999">
        <f t="shared" si="44"/>
        <v>0</v>
      </c>
      <c r="AI80" s="3999">
        <f t="shared" si="44"/>
        <v>0</v>
      </c>
      <c r="AJ80" s="3999">
        <f t="shared" si="44"/>
        <v>0</v>
      </c>
    </row>
    <row r="81" spans="11:36" ht="14.4" thickTop="1">
      <c r="L81" s="3985"/>
      <c r="M81" s="3985"/>
      <c r="N81" s="3985"/>
      <c r="O81" s="4015"/>
      <c r="P81" s="4015"/>
      <c r="Q81" s="4015">
        <f t="shared" ref="Q81:AE81" si="45">SUM(Q47:Q80)</f>
        <v>0</v>
      </c>
      <c r="R81" s="4015">
        <f t="shared" si="45"/>
        <v>0</v>
      </c>
      <c r="S81" s="4015">
        <f t="shared" si="45"/>
        <v>0</v>
      </c>
      <c r="T81" s="4015">
        <f t="shared" si="45"/>
        <v>0</v>
      </c>
      <c r="U81" s="4015">
        <f t="shared" si="45"/>
        <v>0</v>
      </c>
      <c r="V81" s="4015">
        <f t="shared" si="45"/>
        <v>0</v>
      </c>
      <c r="W81" s="4015">
        <f t="shared" si="45"/>
        <v>0</v>
      </c>
      <c r="X81" s="4015">
        <f t="shared" si="45"/>
        <v>0</v>
      </c>
      <c r="Y81" s="4015">
        <f t="shared" si="45"/>
        <v>0</v>
      </c>
      <c r="Z81" s="4015">
        <f t="shared" si="45"/>
        <v>0</v>
      </c>
      <c r="AA81" s="4015">
        <f t="shared" si="45"/>
        <v>0</v>
      </c>
      <c r="AB81" s="4015">
        <f t="shared" si="45"/>
        <v>0</v>
      </c>
      <c r="AC81" s="4015">
        <f t="shared" si="45"/>
        <v>0</v>
      </c>
      <c r="AD81" s="4015">
        <f t="shared" si="45"/>
        <v>0</v>
      </c>
      <c r="AE81" s="4015">
        <f t="shared" si="45"/>
        <v>0</v>
      </c>
      <c r="AF81" s="4015">
        <f>SUM(AF47:AF80)</f>
        <v>0</v>
      </c>
      <c r="AG81" s="4015">
        <f>SUM(AG47:AG80)</f>
        <v>0</v>
      </c>
      <c r="AH81" s="4015">
        <f>SUM(AH47:AH80)</f>
        <v>0</v>
      </c>
      <c r="AI81" s="4015">
        <f t="shared" ref="AI81:AJ81" si="46">SUM(AI47:AI80)</f>
        <v>0</v>
      </c>
      <c r="AJ81" s="4015">
        <f t="shared" si="46"/>
        <v>0</v>
      </c>
    </row>
    <row r="83" spans="11:36">
      <c r="N83" s="4010"/>
      <c r="O83" s="4011" t="s">
        <v>641</v>
      </c>
      <c r="P83" s="4012">
        <f t="shared" ref="P83:AH83" si="47">P44+P81</f>
        <v>157007967.59211284</v>
      </c>
      <c r="Q83" s="4012">
        <f t="shared" si="47"/>
        <v>154822108.59211284</v>
      </c>
      <c r="R83" s="4012">
        <f t="shared" si="47"/>
        <v>152213630.59211284</v>
      </c>
      <c r="S83" s="4012">
        <f t="shared" si="47"/>
        <v>143981020.59211284</v>
      </c>
      <c r="T83" s="4012">
        <f t="shared" si="47"/>
        <v>141860619.59211284</v>
      </c>
      <c r="U83" s="4012">
        <f t="shared" si="47"/>
        <v>133343527.59211285</v>
      </c>
      <c r="V83" s="4012">
        <f t="shared" si="47"/>
        <v>126001106.59211285</v>
      </c>
      <c r="W83" s="4012">
        <f t="shared" si="47"/>
        <v>124349226.59211285</v>
      </c>
      <c r="X83" s="4012">
        <f t="shared" si="47"/>
        <v>106981009.59211285</v>
      </c>
      <c r="Y83" s="4012">
        <f t="shared" si="47"/>
        <v>100959565.59211285</v>
      </c>
      <c r="Z83" s="4012">
        <f t="shared" si="47"/>
        <v>94561247.592112854</v>
      </c>
      <c r="AA83" s="4012">
        <f t="shared" si="47"/>
        <v>87811707.952112854</v>
      </c>
      <c r="AB83" s="4012">
        <f t="shared" si="47"/>
        <v>84717582.592112854</v>
      </c>
      <c r="AC83" s="4012">
        <f t="shared" si="47"/>
        <v>78571400.592112854</v>
      </c>
      <c r="AD83" s="4012">
        <f t="shared" si="47"/>
        <v>52224933.592112854</v>
      </c>
      <c r="AE83" s="4012">
        <f t="shared" si="47"/>
        <v>37447529.592112854</v>
      </c>
      <c r="AF83" s="4012">
        <f t="shared" si="47"/>
        <v>31547939.592112854</v>
      </c>
      <c r="AG83" s="4012">
        <f t="shared" si="47"/>
        <v>23400433.592112854</v>
      </c>
      <c r="AH83" s="4012">
        <f t="shared" si="47"/>
        <v>20002643.592112854</v>
      </c>
      <c r="AI83" s="4012">
        <f t="shared" ref="AI83:AJ83" si="48">AI44+AI81</f>
        <v>15787609.592112854</v>
      </c>
      <c r="AJ83" s="4012">
        <f t="shared" si="48"/>
        <v>0</v>
      </c>
    </row>
    <row r="84" spans="11:36">
      <c r="N84" s="4010"/>
      <c r="O84" s="4011" t="s">
        <v>642</v>
      </c>
      <c r="P84" s="4012">
        <f>P43+P81</f>
        <v>14743933.592112854</v>
      </c>
      <c r="Q84" s="4012">
        <f t="shared" ref="Q84:AJ84" si="49">Q43+Q81</f>
        <v>14743933.592112854</v>
      </c>
      <c r="R84" s="4012">
        <f t="shared" si="49"/>
        <v>14743933.592112854</v>
      </c>
      <c r="S84" s="4012">
        <f t="shared" si="49"/>
        <v>14743933.592112854</v>
      </c>
      <c r="T84" s="4012">
        <f t="shared" si="49"/>
        <v>14743933.592112854</v>
      </c>
      <c r="U84" s="4012">
        <f t="shared" si="49"/>
        <v>14743933.592112854</v>
      </c>
      <c r="V84" s="4012">
        <f t="shared" si="49"/>
        <v>14743933.592112854</v>
      </c>
      <c r="W84" s="4012">
        <f t="shared" si="49"/>
        <v>14743933.592112854</v>
      </c>
      <c r="X84" s="4012">
        <f t="shared" si="49"/>
        <v>14743933.592112854</v>
      </c>
      <c r="Y84" s="4012">
        <f t="shared" si="49"/>
        <v>14743933.592112854</v>
      </c>
      <c r="Z84" s="4012">
        <f t="shared" si="49"/>
        <v>14743933.592112854</v>
      </c>
      <c r="AA84" s="4012">
        <f t="shared" si="49"/>
        <v>14743933.592112854</v>
      </c>
      <c r="AB84" s="4012">
        <f t="shared" si="49"/>
        <v>14743933.592112854</v>
      </c>
      <c r="AC84" s="4012">
        <f t="shared" si="49"/>
        <v>14743933.592112854</v>
      </c>
      <c r="AD84" s="4012">
        <f t="shared" si="49"/>
        <v>14743933.592112854</v>
      </c>
      <c r="AE84" s="4012">
        <f t="shared" si="49"/>
        <v>14743933.592112854</v>
      </c>
      <c r="AF84" s="4012">
        <f t="shared" si="49"/>
        <v>14743933.592112854</v>
      </c>
      <c r="AG84" s="4012">
        <f t="shared" si="49"/>
        <v>14743933.592112854</v>
      </c>
      <c r="AH84" s="4012">
        <f t="shared" si="49"/>
        <v>14743933.592112854</v>
      </c>
      <c r="AI84" s="4012">
        <f t="shared" si="49"/>
        <v>14743933.592112854</v>
      </c>
      <c r="AJ84" s="4012">
        <f t="shared" si="49"/>
        <v>0</v>
      </c>
    </row>
    <row r="86" spans="11:36">
      <c r="K86" s="3986" t="s">
        <v>708</v>
      </c>
    </row>
  </sheetData>
  <mergeCells count="1">
    <mergeCell ref="B3:O3"/>
  </mergeCells>
  <pageMargins left="0.7" right="0.7" top="0.75" bottom="0.75" header="0.3" footer="0.3"/>
  <pageSetup paperSize="5" scale="66" fitToWidth="2" fitToHeight="2" orientation="landscape" r:id="rId1"/>
  <headerFooter>
    <oddFooter>&amp;LHouse Ways and Means Cmte Amendment 1001 2-14-13&amp;R&amp;D</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5"/>
  <sheetViews>
    <sheetView workbookViewId="0">
      <selection activeCell="A3" sqref="A3"/>
    </sheetView>
  </sheetViews>
  <sheetFormatPr defaultColWidth="9.109375" defaultRowHeight="13.8"/>
  <cols>
    <col min="1" max="1" width="1.88671875" style="3261" customWidth="1"/>
    <col min="2" max="2" width="53" style="3265" bestFit="1" customWidth="1"/>
    <col min="3" max="8" width="14.5546875" style="3265" bestFit="1" customWidth="1"/>
    <col min="9" max="14" width="13.6640625" style="3265" bestFit="1" customWidth="1"/>
    <col min="15" max="20" width="13.109375" style="3265" bestFit="1" customWidth="1"/>
    <col min="21" max="26" width="12" style="3265" bestFit="1" customWidth="1"/>
    <col min="27" max="27" width="11.5546875" style="3265" bestFit="1" customWidth="1"/>
    <col min="28" max="16384" width="9.109375" style="3265"/>
  </cols>
  <sheetData>
    <row r="1" spans="1:27">
      <c r="A1" s="3261" t="s">
        <v>894</v>
      </c>
    </row>
    <row r="2" spans="1:27">
      <c r="A2" s="3261" t="s">
        <v>893</v>
      </c>
    </row>
    <row r="3" spans="1:27" ht="15.6">
      <c r="A3" s="4417" t="s">
        <v>970</v>
      </c>
    </row>
    <row r="4" spans="1:27" s="3399" customFormat="1">
      <c r="C4" s="3399">
        <v>2011</v>
      </c>
      <c r="D4" s="3399">
        <v>2012</v>
      </c>
      <c r="E4" s="3399">
        <v>2013</v>
      </c>
      <c r="F4" s="3399">
        <v>2014</v>
      </c>
      <c r="G4" s="3399">
        <v>2015</v>
      </c>
      <c r="H4" s="3399">
        <v>2016</v>
      </c>
      <c r="I4" s="3399">
        <v>2017</v>
      </c>
      <c r="J4" s="3399">
        <v>2018</v>
      </c>
      <c r="K4" s="3399">
        <v>2019</v>
      </c>
      <c r="L4" s="3399">
        <v>2020</v>
      </c>
      <c r="M4" s="3399">
        <v>2021</v>
      </c>
      <c r="N4" s="3399">
        <v>2022</v>
      </c>
      <c r="O4" s="3399">
        <v>2023</v>
      </c>
      <c r="P4" s="3399">
        <v>2024</v>
      </c>
      <c r="Q4" s="3399">
        <v>2025</v>
      </c>
      <c r="R4" s="3399">
        <v>2026</v>
      </c>
      <c r="S4" s="3399">
        <v>2027</v>
      </c>
      <c r="T4" s="3399">
        <v>2028</v>
      </c>
      <c r="U4" s="3399">
        <v>2029</v>
      </c>
      <c r="V4" s="3399">
        <v>2030</v>
      </c>
      <c r="W4" s="3399">
        <v>2031</v>
      </c>
      <c r="X4" s="3399">
        <v>2032</v>
      </c>
      <c r="Y4" s="3399">
        <v>2033</v>
      </c>
      <c r="Z4" s="3399">
        <v>2034</v>
      </c>
      <c r="AA4" s="3399">
        <v>2035</v>
      </c>
    </row>
    <row r="5" spans="1:27">
      <c r="A5" s="3261" t="s">
        <v>278</v>
      </c>
    </row>
    <row r="6" spans="1:27" s="4364" customFormat="1">
      <c r="B6" s="4364" t="s">
        <v>637</v>
      </c>
      <c r="C6" s="4365">
        <v>50256619</v>
      </c>
      <c r="D6" s="4365">
        <v>47828125</v>
      </c>
      <c r="E6" s="4365">
        <v>45100612</v>
      </c>
      <c r="F6" s="4365">
        <v>42336379</v>
      </c>
      <c r="G6" s="4365">
        <v>39472563</v>
      </c>
      <c r="H6" s="4365">
        <v>36504382</v>
      </c>
      <c r="I6" s="4365">
        <v>33409011</v>
      </c>
      <c r="J6" s="4365">
        <v>30181579</v>
      </c>
      <c r="K6" s="4365">
        <v>26825154</v>
      </c>
      <c r="L6" s="4365">
        <v>23298767</v>
      </c>
      <c r="M6" s="4365">
        <v>19610383</v>
      </c>
      <c r="N6" s="4365">
        <v>15743910</v>
      </c>
      <c r="O6" s="4365">
        <v>12382192</v>
      </c>
      <c r="P6" s="4365">
        <v>8869008</v>
      </c>
      <c r="Q6" s="4365">
        <v>7088066</v>
      </c>
      <c r="R6" s="4365">
        <v>5231999</v>
      </c>
      <c r="S6" s="4365">
        <v>3798363</v>
      </c>
      <c r="T6" s="4365">
        <v>2681631</v>
      </c>
      <c r="U6" s="4365">
        <v>1835187</v>
      </c>
      <c r="V6" s="4365">
        <v>1257322</v>
      </c>
      <c r="W6" s="4365">
        <v>646230</v>
      </c>
      <c r="X6" s="4365">
        <v>0</v>
      </c>
      <c r="Y6" s="4365">
        <v>0</v>
      </c>
      <c r="Z6" s="4365">
        <v>0</v>
      </c>
      <c r="AA6" s="4365">
        <v>0</v>
      </c>
    </row>
    <row r="7" spans="1:27">
      <c r="B7" s="3265" t="str">
        <f>'Capital Projects and FR'!A77</f>
        <v>VU Aviation Technology Center Rehabilitation</v>
      </c>
      <c r="C7" s="4328"/>
      <c r="D7" s="4328"/>
      <c r="E7" s="4328"/>
      <c r="F7" s="4328"/>
      <c r="G7" s="4328">
        <f>IF('Capital Projects and FR'!$F77&gt;0,('Capital Projects and FR'!D77*1.0575+(PMT(0.0575,20,'Capital Projects and FR'!D77,0))),0)</f>
        <v>0</v>
      </c>
      <c r="H7" s="4328">
        <f>IF(G7&gt;0,(G7*1.0575+PMT(0.0575,20,'Capital Projects and FR'!$D77,0)),0)</f>
        <v>0</v>
      </c>
      <c r="I7" s="4328">
        <f>IF(H7&gt;0,(H7*1.0575+PMT(0.0575,20,'Capital Projects and FR'!$D77,0)),0)</f>
        <v>0</v>
      </c>
      <c r="J7" s="4328">
        <f>IF(I7&gt;0,(I7*1.0575+PMT(0.0575,20,'Capital Projects and FR'!$D77,0)),0)</f>
        <v>0</v>
      </c>
      <c r="K7" s="4328">
        <f>IF(J7&gt;0,(J7*1.0575+PMT(0.0575,20,'Capital Projects and FR'!$D77,0)),0)</f>
        <v>0</v>
      </c>
      <c r="L7" s="4328">
        <f>IF(K7&gt;0,(K7*1.0575+PMT(0.0575,20,'Capital Projects and FR'!$D77,0)),0)</f>
        <v>0</v>
      </c>
      <c r="M7" s="4328">
        <f>IF(L7&gt;0,(L7*1.0575+PMT(0.0575,20,'Capital Projects and FR'!$D77,0)),0)</f>
        <v>0</v>
      </c>
      <c r="N7" s="4328">
        <f>IF(M7&gt;0,(M7*1.0575+PMT(0.0575,20,'Capital Projects and FR'!$D77,0)),0)</f>
        <v>0</v>
      </c>
      <c r="O7" s="4328">
        <f>IF(N7&gt;0,(N7*1.0575+PMT(0.0575,20,'Capital Projects and FR'!$D77,0)),0)</f>
        <v>0</v>
      </c>
      <c r="P7" s="4328">
        <f>IF(O7&gt;0,(O7*1.0575+PMT(0.0575,20,'Capital Projects and FR'!$D77,0)),0)</f>
        <v>0</v>
      </c>
      <c r="Q7" s="4328">
        <f>IF(P7&gt;0,(P7*1.0575+PMT(0.0575,20,'Capital Projects and FR'!$D77,0)),0)</f>
        <v>0</v>
      </c>
      <c r="R7" s="4328">
        <f>IF(Q7&gt;0,(Q7*1.0575+PMT(0.0575,20,'Capital Projects and FR'!$D77,0)),0)</f>
        <v>0</v>
      </c>
      <c r="S7" s="4328">
        <f>IF(R7&gt;0,(R7*1.0575+PMT(0.0575,20,'Capital Projects and FR'!$D77,0)),0)</f>
        <v>0</v>
      </c>
      <c r="T7" s="4328">
        <f>IF(S7&gt;0,(S7*1.0575+PMT(0.0575,20,'Capital Projects and FR'!$D77,0)),0)</f>
        <v>0</v>
      </c>
      <c r="U7" s="4328">
        <f>IF(T7&gt;0,(T7*1.0575+PMT(0.0575,20,'Capital Projects and FR'!$D77,0)),0)</f>
        <v>0</v>
      </c>
      <c r="V7" s="4328">
        <f>IF(U7&gt;0,(U7*1.0575+PMT(0.0575,20,'Capital Projects and FR'!$D77,0)),0)</f>
        <v>0</v>
      </c>
      <c r="W7" s="4328">
        <f>IF(V7&gt;0,(V7*1.0575+PMT(0.0575,20,'Capital Projects and FR'!$D77,0)),0)</f>
        <v>0</v>
      </c>
      <c r="X7" s="4328">
        <f>IF(W7&gt;0,(W7*1.0575+PMT(0.0575,20,'Capital Projects and FR'!$D77,0)),0)</f>
        <v>0</v>
      </c>
      <c r="Y7" s="4328">
        <f>IF(X7&gt;0,(X7*1.0575+PMT(0.0575,20,'Capital Projects and FR'!$D77,0)),0)</f>
        <v>0</v>
      </c>
      <c r="Z7" s="4328">
        <f>IF(Y7&gt;0,(Y7*1.0575+PMT(0.0575,20,'Capital Projects and FR'!$D77,0)),0)</f>
        <v>0</v>
      </c>
      <c r="AA7" s="4328"/>
    </row>
    <row r="8" spans="1:27">
      <c r="B8" s="3265" t="str">
        <f>'Capital Projects and FR'!A78</f>
        <v>VU Infrastructure Project (Electrical/Steamline Replacement)</v>
      </c>
      <c r="C8" s="4328"/>
      <c r="D8" s="4328"/>
      <c r="E8" s="4328"/>
      <c r="F8" s="4328"/>
      <c r="G8" s="4328">
        <f>IF('Capital Projects and FR'!$F78&gt;0,('Capital Projects and FR'!D78*1.0575+(PMT(0.0575,20,'Capital Projects and FR'!D78,0))),0)</f>
        <v>0</v>
      </c>
      <c r="H8" s="4328">
        <f>IF(G8&gt;0,(G8*1.0575+PMT(0.0575,20,'Capital Projects and FR'!$D78,0)),0)</f>
        <v>0</v>
      </c>
      <c r="I8" s="4328">
        <f>IF(H8&gt;0,(H8*1.0575+PMT(0.0575,20,'Capital Projects and FR'!$D78,0)),0)</f>
        <v>0</v>
      </c>
      <c r="J8" s="4328">
        <f>IF(I8&gt;0,(I8*1.0575+PMT(0.0575,20,'Capital Projects and FR'!$D78,0)),0)</f>
        <v>0</v>
      </c>
      <c r="K8" s="4328">
        <f>IF(J8&gt;0,(J8*1.0575+PMT(0.0575,20,'Capital Projects and FR'!$D78,0)),0)</f>
        <v>0</v>
      </c>
      <c r="L8" s="4328">
        <f>IF(K8&gt;0,(K8*1.0575+PMT(0.0575,20,'Capital Projects and FR'!$D78,0)),0)</f>
        <v>0</v>
      </c>
      <c r="M8" s="4328">
        <f>IF(L8&gt;0,(L8*1.0575+PMT(0.0575,20,'Capital Projects and FR'!$D78,0)),0)</f>
        <v>0</v>
      </c>
      <c r="N8" s="4328">
        <f>IF(M8&gt;0,(M8*1.0575+PMT(0.0575,20,'Capital Projects and FR'!$D78,0)),0)</f>
        <v>0</v>
      </c>
      <c r="O8" s="4328">
        <f>IF(N8&gt;0,(N8*1.0575+PMT(0.0575,20,'Capital Projects and FR'!$D78,0)),0)</f>
        <v>0</v>
      </c>
      <c r="P8" s="4328">
        <f>IF(O8&gt;0,(O8*1.0575+PMT(0.0575,20,'Capital Projects and FR'!$D78,0)),0)</f>
        <v>0</v>
      </c>
      <c r="Q8" s="4328">
        <f>IF(P8&gt;0,(P8*1.0575+PMT(0.0575,20,'Capital Projects and FR'!$D78,0)),0)</f>
        <v>0</v>
      </c>
      <c r="R8" s="4328">
        <f>IF(Q8&gt;0,(Q8*1.0575+PMT(0.0575,20,'Capital Projects and FR'!$D78,0)),0)</f>
        <v>0</v>
      </c>
      <c r="S8" s="4328">
        <f>IF(R8&gt;0,(R8*1.0575+PMT(0.0575,20,'Capital Projects and FR'!$D78,0)),0)</f>
        <v>0</v>
      </c>
      <c r="T8" s="4328">
        <f>IF(S8&gt;0,(S8*1.0575+PMT(0.0575,20,'Capital Projects and FR'!$D78,0)),0)</f>
        <v>0</v>
      </c>
      <c r="U8" s="4328">
        <f>IF(T8&gt;0,(T8*1.0575+PMT(0.0575,20,'Capital Projects and FR'!$D78,0)),0)</f>
        <v>0</v>
      </c>
      <c r="V8" s="4328">
        <f>IF(U8&gt;0,(U8*1.0575+PMT(0.0575,20,'Capital Projects and FR'!$D78,0)),0)</f>
        <v>0</v>
      </c>
      <c r="W8" s="4328">
        <f>IF(V8&gt;0,(V8*1.0575+PMT(0.0575,20,'Capital Projects and FR'!$D78,0)),0)</f>
        <v>0</v>
      </c>
      <c r="X8" s="4328">
        <f>IF(W8&gt;0,(W8*1.0575+PMT(0.0575,20,'Capital Projects and FR'!$D78,0)),0)</f>
        <v>0</v>
      </c>
      <c r="Y8" s="4328">
        <f>IF(X8&gt;0,(X8*1.0575+PMT(0.0575,20,'Capital Projects and FR'!$D78,0)),0)</f>
        <v>0</v>
      </c>
      <c r="Z8" s="4328">
        <f>IF(Y8&gt;0,(Y8*1.0575+PMT(0.0575,20,'Capital Projects and FR'!$D78,0)),0)</f>
        <v>0</v>
      </c>
      <c r="AA8" s="4328"/>
    </row>
    <row r="9" spans="1:27">
      <c r="B9" s="3265" t="str">
        <f>'Capital Projects and FR'!A79</f>
        <v>VU New Science Building</v>
      </c>
      <c r="C9" s="4328"/>
      <c r="D9" s="4328"/>
      <c r="E9" s="4328"/>
      <c r="F9" s="4328"/>
      <c r="G9" s="4328">
        <f>IF('Capital Projects and FR'!$F79&gt;0,('Capital Projects and FR'!D79*1.0575+(PMT(0.0575,20,'Capital Projects and FR'!D79,0))),0)</f>
        <v>0</v>
      </c>
      <c r="H9" s="4328">
        <f>IF(G9&gt;0,(G9*1.0575+PMT(0.0575,20,'Capital Projects and FR'!$D79,0)),0)</f>
        <v>0</v>
      </c>
      <c r="I9" s="4328">
        <f>IF(H9&gt;0,(H9*1.0575+PMT(0.0575,20,'Capital Projects and FR'!$D79,0)),0)</f>
        <v>0</v>
      </c>
      <c r="J9" s="4328">
        <f>IF(I9&gt;0,(I9*1.0575+PMT(0.0575,20,'Capital Projects and FR'!$D79,0)),0)</f>
        <v>0</v>
      </c>
      <c r="K9" s="4328">
        <f>IF(J9&gt;0,(J9*1.0575+PMT(0.0575,20,'Capital Projects and FR'!$D79,0)),0)</f>
        <v>0</v>
      </c>
      <c r="L9" s="4328">
        <f>IF(K9&gt;0,(K9*1.0575+PMT(0.0575,20,'Capital Projects and FR'!$D79,0)),0)</f>
        <v>0</v>
      </c>
      <c r="M9" s="4328">
        <f>IF(L9&gt;0,(L9*1.0575+PMT(0.0575,20,'Capital Projects and FR'!$D79,0)),0)</f>
        <v>0</v>
      </c>
      <c r="N9" s="4328">
        <f>IF(M9&gt;0,(M9*1.0575+PMT(0.0575,20,'Capital Projects and FR'!$D79,0)),0)</f>
        <v>0</v>
      </c>
      <c r="O9" s="4328">
        <f>IF(N9&gt;0,(N9*1.0575+PMT(0.0575,20,'Capital Projects and FR'!$D79,0)),0)</f>
        <v>0</v>
      </c>
      <c r="P9" s="4328">
        <f>IF(O9&gt;0,(O9*1.0575+PMT(0.0575,20,'Capital Projects and FR'!$D79,0)),0)</f>
        <v>0</v>
      </c>
      <c r="Q9" s="4328">
        <f>IF(P9&gt;0,(P9*1.0575+PMT(0.0575,20,'Capital Projects and FR'!$D79,0)),0)</f>
        <v>0</v>
      </c>
      <c r="R9" s="4328">
        <f>IF(Q9&gt;0,(Q9*1.0575+PMT(0.0575,20,'Capital Projects and FR'!$D79,0)),0)</f>
        <v>0</v>
      </c>
      <c r="S9" s="4328">
        <f>IF(R9&gt;0,(R9*1.0575+PMT(0.0575,20,'Capital Projects and FR'!$D79,0)),0)</f>
        <v>0</v>
      </c>
      <c r="T9" s="4328">
        <f>IF(S9&gt;0,(S9*1.0575+PMT(0.0575,20,'Capital Projects and FR'!$D79,0)),0)</f>
        <v>0</v>
      </c>
      <c r="U9" s="4328">
        <f>IF(T9&gt;0,(T9*1.0575+PMT(0.0575,20,'Capital Projects and FR'!$D79,0)),0)</f>
        <v>0</v>
      </c>
      <c r="V9" s="4328">
        <f>IF(U9&gt;0,(U9*1.0575+PMT(0.0575,20,'Capital Projects and FR'!$D79,0)),0)</f>
        <v>0</v>
      </c>
      <c r="W9" s="4328">
        <f>IF(V9&gt;0,(V9*1.0575+PMT(0.0575,20,'Capital Projects and FR'!$D79,0)),0)</f>
        <v>0</v>
      </c>
      <c r="X9" s="4328">
        <f>IF(W9&gt;0,(W9*1.0575+PMT(0.0575,20,'Capital Projects and FR'!$D79,0)),0)</f>
        <v>0</v>
      </c>
      <c r="Y9" s="4328">
        <f>IF(X9&gt;0,(X9*1.0575+PMT(0.0575,20,'Capital Projects and FR'!$D79,0)),0)</f>
        <v>0</v>
      </c>
      <c r="Z9" s="4328">
        <f>IF(Y9&gt;0,(Y9*1.0575+PMT(0.0575,20,'Capital Projects and FR'!$D79,0)),0)</f>
        <v>0</v>
      </c>
      <c r="AA9" s="4328"/>
    </row>
    <row r="10" spans="1:27" s="3261" customFormat="1">
      <c r="B10" s="3261" t="s">
        <v>615</v>
      </c>
      <c r="C10" s="4363">
        <f t="shared" ref="C10:AA10" si="0">SUM(C6:C9)</f>
        <v>50256619</v>
      </c>
      <c r="D10" s="4363">
        <f t="shared" si="0"/>
        <v>47828125</v>
      </c>
      <c r="E10" s="4363">
        <f t="shared" si="0"/>
        <v>45100612</v>
      </c>
      <c r="F10" s="4363">
        <f t="shared" si="0"/>
        <v>42336379</v>
      </c>
      <c r="G10" s="4363">
        <f t="shared" si="0"/>
        <v>39472563</v>
      </c>
      <c r="H10" s="4363">
        <f t="shared" si="0"/>
        <v>36504382</v>
      </c>
      <c r="I10" s="4363">
        <f t="shared" si="0"/>
        <v>33409011</v>
      </c>
      <c r="J10" s="4363">
        <f t="shared" si="0"/>
        <v>30181579</v>
      </c>
      <c r="K10" s="4363">
        <f t="shared" si="0"/>
        <v>26825154</v>
      </c>
      <c r="L10" s="4363">
        <f t="shared" si="0"/>
        <v>23298767</v>
      </c>
      <c r="M10" s="4363">
        <f t="shared" si="0"/>
        <v>19610383</v>
      </c>
      <c r="N10" s="4363">
        <f t="shared" si="0"/>
        <v>15743910</v>
      </c>
      <c r="O10" s="4363">
        <f t="shared" si="0"/>
        <v>12382192</v>
      </c>
      <c r="P10" s="4363">
        <f t="shared" si="0"/>
        <v>8869008</v>
      </c>
      <c r="Q10" s="4363">
        <f t="shared" si="0"/>
        <v>7088066</v>
      </c>
      <c r="R10" s="4363">
        <f t="shared" si="0"/>
        <v>5231999</v>
      </c>
      <c r="S10" s="4363">
        <f t="shared" si="0"/>
        <v>3798363</v>
      </c>
      <c r="T10" s="4363">
        <f t="shared" si="0"/>
        <v>2681631</v>
      </c>
      <c r="U10" s="4363">
        <f t="shared" si="0"/>
        <v>1835187</v>
      </c>
      <c r="V10" s="4363">
        <f t="shared" si="0"/>
        <v>1257322</v>
      </c>
      <c r="W10" s="4363">
        <f t="shared" si="0"/>
        <v>646230</v>
      </c>
      <c r="X10" s="4363">
        <f t="shared" si="0"/>
        <v>0</v>
      </c>
      <c r="Y10" s="4363">
        <f t="shared" si="0"/>
        <v>0</v>
      </c>
      <c r="Z10" s="4363">
        <f t="shared" si="0"/>
        <v>0</v>
      </c>
      <c r="AA10" s="4363">
        <f t="shared" si="0"/>
        <v>0</v>
      </c>
    </row>
    <row r="11" spans="1:27">
      <c r="A11" s="4367"/>
      <c r="B11" s="3386"/>
      <c r="C11" s="3386"/>
      <c r="D11" s="3386"/>
      <c r="E11" s="3386"/>
      <c r="F11" s="3386"/>
      <c r="G11" s="3386"/>
      <c r="H11" s="3386"/>
      <c r="I11" s="3386"/>
      <c r="J11" s="3386"/>
      <c r="K11" s="3386"/>
      <c r="L11" s="3386"/>
      <c r="M11" s="3386"/>
      <c r="N11" s="3386"/>
      <c r="O11" s="3386"/>
      <c r="P11" s="3386"/>
      <c r="Q11" s="3386"/>
      <c r="R11" s="3386"/>
      <c r="S11" s="3386"/>
      <c r="T11" s="3386"/>
      <c r="U11" s="3386"/>
      <c r="V11" s="3386"/>
      <c r="W11" s="3386"/>
      <c r="X11" s="3386"/>
      <c r="Y11" s="3386"/>
      <c r="Z11" s="4368"/>
      <c r="AA11" s="4368"/>
    </row>
    <row r="12" spans="1:27">
      <c r="A12" s="3261" t="s">
        <v>276</v>
      </c>
      <c r="Z12" s="4328"/>
      <c r="AA12" s="4328"/>
    </row>
    <row r="13" spans="1:27" s="4364" customFormat="1">
      <c r="B13" s="4364" t="s">
        <v>637</v>
      </c>
      <c r="C13" s="4365">
        <v>128310000</v>
      </c>
      <c r="D13" s="4365">
        <v>119715000</v>
      </c>
      <c r="E13" s="4365">
        <f>111085000+7575000</f>
        <v>118660000</v>
      </c>
      <c r="F13" s="4365">
        <f>7363000+102510000</f>
        <v>109873000</v>
      </c>
      <c r="G13" s="4365">
        <f>7139000+94380000</f>
        <v>101519000</v>
      </c>
      <c r="H13" s="4365">
        <f>6902000+87305000</f>
        <v>94207000</v>
      </c>
      <c r="I13" s="4365">
        <f>6652000+80790000</f>
        <v>87442000</v>
      </c>
      <c r="J13" s="4365">
        <f>6387000+73945000</f>
        <v>80332000</v>
      </c>
      <c r="K13" s="4365">
        <f>6107000+66755000</f>
        <v>72862000</v>
      </c>
      <c r="L13" s="4365">
        <f>5811000+59205000</f>
        <v>65016000</v>
      </c>
      <c r="M13" s="4365">
        <f>5498000+51275000</f>
        <v>56773000</v>
      </c>
      <c r="N13" s="4365">
        <f>5167000+44490000</f>
        <v>49657000</v>
      </c>
      <c r="O13" s="4365">
        <f>4817000+37365000</f>
        <v>42182000</v>
      </c>
      <c r="P13" s="4365">
        <f>4447000+29890000</f>
        <v>34337000</v>
      </c>
      <c r="Q13" s="4365">
        <f>4056000+23765000</f>
        <v>27821000</v>
      </c>
      <c r="R13" s="4365">
        <f>3642000+17335000</f>
        <v>20977000</v>
      </c>
      <c r="S13" s="4365">
        <f>3204000+12245000</f>
        <v>15449000</v>
      </c>
      <c r="T13" s="4365">
        <f>2741000+6930000</f>
        <v>9671000</v>
      </c>
      <c r="U13" s="4365">
        <f>2252000+4735000</f>
        <v>6987000</v>
      </c>
      <c r="V13" s="4365">
        <f>1735000+2425000</f>
        <v>4160000</v>
      </c>
      <c r="W13" s="4365">
        <v>1188000</v>
      </c>
      <c r="X13" s="4365">
        <v>609000</v>
      </c>
      <c r="Y13" s="4365">
        <v>0</v>
      </c>
      <c r="Z13" s="4365">
        <v>0</v>
      </c>
      <c r="AA13" s="4365">
        <v>0</v>
      </c>
    </row>
    <row r="14" spans="1:27">
      <c r="B14" s="3265" t="str">
        <f>'Capital Projects and FR'!A26</f>
        <v>BSU Central Campus Academic &amp; Utility Improvements Phase II B</v>
      </c>
      <c r="C14" s="4328"/>
      <c r="D14" s="4328"/>
      <c r="E14" s="4328"/>
      <c r="F14" s="4328">
        <f>IF('Capital Projects and FR'!$F26&gt;0,('Capital Projects and FR'!D26*1.0575+(PMT(0.0575,20,'Capital Projects and FR'!D26,0))),0)</f>
        <v>11859333.314365705</v>
      </c>
      <c r="G14" s="4328">
        <f>IF(F14&gt;0,(F14*1.0575+PMT(0.0575,20,'Capital Projects and FR'!$D26,0)),0)</f>
        <v>11499078.294307439</v>
      </c>
      <c r="H14" s="4328">
        <f>IF(G14&gt;0,(G14*1.0575+PMT(0.0575,20,'Capital Projects and FR'!$D26,0)),0)</f>
        <v>11118108.61059582</v>
      </c>
      <c r="I14" s="4328">
        <f>IF(H14&gt;0,(H14*1.0575+PMT(0.0575,20,'Capital Projects and FR'!$D26,0)),0)</f>
        <v>10715233.170070784</v>
      </c>
      <c r="J14" s="4328">
        <f>IF(I14&gt;0,(I14*1.0575+PMT(0.0575,20,'Capital Projects and FR'!$D26,0)),0)</f>
        <v>10289192.391715558</v>
      </c>
      <c r="K14" s="4328">
        <f>IF(J14&gt;0,(J14*1.0575+PMT(0.0575,20,'Capital Projects and FR'!$D26,0)),0)</f>
        <v>9838654.2686049081</v>
      </c>
      <c r="L14" s="4328">
        <f>IF(K14&gt;0,(K14*1.0575+PMT(0.0575,20,'Capital Projects and FR'!$D26,0)),0)</f>
        <v>9362210.2034153957</v>
      </c>
      <c r="M14" s="4328">
        <f>IF(L14&gt;0,(L14*1.0575+PMT(0.0575,20,'Capital Projects and FR'!$D26,0)),0)</f>
        <v>8858370.6044774856</v>
      </c>
      <c r="N14" s="4328">
        <f>IF(M14&gt;0,(M14*1.0575+PMT(0.0575,20,'Capital Projects and FR'!$D26,0)),0)</f>
        <v>8325560.2286006454</v>
      </c>
      <c r="O14" s="4328">
        <f>IF(N14&gt;0,(N14*1.0575+PMT(0.0575,20,'Capital Projects and FR'!$D26,0)),0)</f>
        <v>7762113.256110888</v>
      </c>
      <c r="P14" s="4328">
        <f>IF(O14&gt;0,(O14*1.0575+PMT(0.0575,20,'Capital Projects and FR'!$D26,0)),0)</f>
        <v>7166268.0827029683</v>
      </c>
      <c r="Q14" s="4328">
        <f>IF(P14&gt;0,(P14*1.0575+PMT(0.0575,20,'Capital Projects and FR'!$D26,0)),0)</f>
        <v>6536161.8118240936</v>
      </c>
      <c r="R14" s="4328">
        <f>IF(Q14&gt;0,(Q14*1.0575+PMT(0.0575,20,'Capital Projects and FR'!$D26,0)),0)</f>
        <v>5869824.4303696835</v>
      </c>
      <c r="S14" s="4328">
        <f>IF(R14&gt;0,(R14*1.0575+PMT(0.0575,20,'Capital Projects and FR'!$D26,0)),0)</f>
        <v>5165172.6494816449</v>
      </c>
      <c r="T14" s="4328">
        <f>IF(S14&gt;0,(S14*1.0575+PMT(0.0575,20,'Capital Projects and FR'!$D26,0)),0)</f>
        <v>4420003.3911925433</v>
      </c>
      <c r="U14" s="4328">
        <f>IF(T14&gt;0,(T14*1.0575+PMT(0.0575,20,'Capital Projects and FR'!$D26,0)),0)</f>
        <v>3631986.9005518183</v>
      </c>
      <c r="V14" s="4328">
        <f>IF(U14&gt;0,(U14*1.0575+PMT(0.0575,20,'Capital Projects and FR'!$D26,0)),0)</f>
        <v>2798659.461699252</v>
      </c>
      <c r="W14" s="4328">
        <f>IF(V14&gt;0,(V14*1.0575+PMT(0.0575,20,'Capital Projects and FR'!$D26,0)),0)</f>
        <v>1917415.6951126631</v>
      </c>
      <c r="X14" s="4328">
        <f>IF(W14&gt;0,(W14*1.0575+PMT(0.0575,20,'Capital Projects and FR'!$D26,0)),0)</f>
        <v>985500.41194734536</v>
      </c>
      <c r="Y14" s="4328">
        <f>IF(X14&gt;0,(X14*1.0575+PMT(0.0575,20,'Capital Projects and FR'!$D26,0)),0)</f>
        <v>2.1653249859809875E-8</v>
      </c>
      <c r="Z14" s="4328"/>
      <c r="AA14" s="4328"/>
    </row>
    <row r="15" spans="1:27">
      <c r="B15" s="3265" t="str">
        <f>'Capital Projects and FR'!A27</f>
        <v>BSU Geothermal Phase I Remaining Authority</v>
      </c>
      <c r="C15" s="4328"/>
      <c r="D15" s="4328"/>
      <c r="E15" s="4328"/>
      <c r="F15" s="4328">
        <f>IF('Capital Projects and FR'!$F27&gt;0,('Capital Projects and FR'!D27*1.0575+(PMT(0.0575,20,'Capital Projects and FR'!D27,0))),0)</f>
        <v>3013437.1536503024</v>
      </c>
      <c r="G15" s="4328">
        <f>IF(F15&gt;0,(F15*1.0575+PMT(0.0575,20,'Capital Projects and FR'!$D27,0)),0)</f>
        <v>2921896.9436354972</v>
      </c>
      <c r="H15" s="4328">
        <f>IF(G15&gt;0,(G15*1.0575+PMT(0.0575,20,'Capital Projects and FR'!$D27,0)),0)</f>
        <v>2825093.1715448406</v>
      </c>
      <c r="I15" s="4328">
        <f>IF(H15&gt;0,(H15*1.0575+PMT(0.0575,20,'Capital Projects and FR'!$D27,0)),0)</f>
        <v>2722723.182558971</v>
      </c>
      <c r="J15" s="4328">
        <f>IF(I15&gt;0,(I15*1.0575+PMT(0.0575,20,'Capital Projects and FR'!$D27,0)),0)</f>
        <v>2614466.9192064139</v>
      </c>
      <c r="K15" s="4328">
        <f>IF(J15&gt;0,(J15*1.0575+PMT(0.0575,20,'Capital Projects and FR'!$D27,0)),0)</f>
        <v>2499985.9207110847</v>
      </c>
      <c r="L15" s="4328">
        <f>IF(K15&gt;0,(K15*1.0575+PMT(0.0575,20,'Capital Projects and FR'!$D27,0)),0)</f>
        <v>2378922.2648022743</v>
      </c>
      <c r="M15" s="4328">
        <f>IF(L15&gt;0,(L15*1.0575+PMT(0.0575,20,'Capital Projects and FR'!$D27,0)),0)</f>
        <v>2250897.4486787072</v>
      </c>
      <c r="N15" s="4328">
        <f>IF(M15&gt;0,(M15*1.0575+PMT(0.0575,20,'Capital Projects and FR'!$D27,0)),0)</f>
        <v>2115511.2056280351</v>
      </c>
      <c r="O15" s="4328">
        <f>IF(N15&gt;0,(N15*1.0575+PMT(0.0575,20,'Capital Projects and FR'!$D27,0)),0)</f>
        <v>1972340.253601949</v>
      </c>
      <c r="P15" s="4328">
        <f>IF(O15&gt;0,(O15*1.0575+PMT(0.0575,20,'Capital Projects and FR'!$D27,0)),0)</f>
        <v>1820936.971834363</v>
      </c>
      <c r="Q15" s="4328">
        <f>IF(P15&gt;0,(P15*1.0575+PMT(0.0575,20,'Capital Projects and FR'!$D27,0)),0)</f>
        <v>1660828.0013651408</v>
      </c>
      <c r="R15" s="4328">
        <f>IF(Q15&gt;0,(Q15*1.0575+PMT(0.0575,20,'Capital Projects and FR'!$D27,0)),0)</f>
        <v>1491512.7650939382</v>
      </c>
      <c r="S15" s="4328">
        <f>IF(R15&gt;0,(R15*1.0575+PMT(0.0575,20,'Capital Projects and FR'!$D27,0)),0)</f>
        <v>1312461.9027371416</v>
      </c>
      <c r="T15" s="4328">
        <f>IF(S15&gt;0,(S15*1.0575+PMT(0.0575,20,'Capital Projects and FR'!$D27,0)),0)</f>
        <v>1123115.6157948291</v>
      </c>
      <c r="U15" s="4328">
        <f>IF(T15&gt;0,(T15*1.0575+PMT(0.0575,20,'Capital Projects and FR'!$D27,0)),0)</f>
        <v>922881.91735333367</v>
      </c>
      <c r="V15" s="4328">
        <f>IF(U15&gt;0,(U15*1.0575+PMT(0.0575,20,'Capital Projects and FR'!$D27,0)),0)</f>
        <v>711134.78125145216</v>
      </c>
      <c r="W15" s="4328">
        <f>IF(V15&gt;0,(V15*1.0575+PMT(0.0575,20,'Capital Projects and FR'!$D27,0)),0)</f>
        <v>487212.18482371251</v>
      </c>
      <c r="X15" s="4328">
        <f>IF(W15&gt;0,(W15*1.0575+PMT(0.0575,20,'Capital Projects and FR'!$D27,0)),0)</f>
        <v>250414.03910137783</v>
      </c>
      <c r="Y15" s="4328">
        <f>IF(X15&gt;0,(X15*1.0575+PMT(0.0575,20,'Capital Projects and FR'!$D27,0)),0)</f>
        <v>8.9057721197605133E-9</v>
      </c>
      <c r="Z15" s="4328"/>
      <c r="AA15" s="4328"/>
    </row>
    <row r="16" spans="1:27">
      <c r="B16" s="3265" t="str">
        <f>'Capital Projects and FR'!A44</f>
        <v>BSU College of Architecture &amp; Planning Building Renovation</v>
      </c>
      <c r="C16" s="4328"/>
      <c r="D16" s="4328"/>
      <c r="E16" s="4328"/>
      <c r="F16" s="4328"/>
      <c r="G16" s="4328">
        <f>IF('Capital Projects and FR'!$F44&gt;0,('Capital Projects and FR'!D44*1.0575+(PMT(0.0575,20,'Capital Projects and FR'!D44,0))),0)</f>
        <v>0</v>
      </c>
      <c r="H16" s="4328">
        <f>IF(G16&gt;0,(G16*1.0575+PMT(0.0575,20,'Capital Projects and FR'!$D44,0)),0)</f>
        <v>0</v>
      </c>
      <c r="I16" s="4328">
        <f>IF(H16&gt;0,(H16*1.0575+PMT(0.0575,20,'Capital Projects and FR'!$D44,0)),0)</f>
        <v>0</v>
      </c>
      <c r="J16" s="4328">
        <f>IF(I16&gt;0,(I16*1.0575+PMT(0.0575,20,'Capital Projects and FR'!$D44,0)),0)</f>
        <v>0</v>
      </c>
      <c r="K16" s="4328">
        <f>IF(J16&gt;0,(J16*1.0575+PMT(0.0575,20,'Capital Projects and FR'!$D44,0)),0)</f>
        <v>0</v>
      </c>
      <c r="L16" s="4328">
        <f>IF(K16&gt;0,(K16*1.0575+PMT(0.0575,20,'Capital Projects and FR'!$D44,0)),0)</f>
        <v>0</v>
      </c>
      <c r="M16" s="4328">
        <f>IF(L16&gt;0,(L16*1.0575+PMT(0.0575,20,'Capital Projects and FR'!$D44,0)),0)</f>
        <v>0</v>
      </c>
      <c r="N16" s="4328">
        <f>IF(M16&gt;0,(M16*1.0575+PMT(0.0575,20,'Capital Projects and FR'!$D44,0)),0)</f>
        <v>0</v>
      </c>
      <c r="O16" s="4328">
        <f>IF(N16&gt;0,(N16*1.0575+PMT(0.0575,20,'Capital Projects and FR'!$D44,0)),0)</f>
        <v>0</v>
      </c>
      <c r="P16" s="4328">
        <f>IF(O16&gt;0,(O16*1.0575+PMT(0.0575,20,'Capital Projects and FR'!$D44,0)),0)</f>
        <v>0</v>
      </c>
      <c r="Q16" s="4328">
        <f>IF(P16&gt;0,(P16*1.0575+PMT(0.0575,20,'Capital Projects and FR'!$D44,0)),0)</f>
        <v>0</v>
      </c>
      <c r="R16" s="4328">
        <f>IF(Q16&gt;0,(Q16*1.0575+PMT(0.0575,20,'Capital Projects and FR'!$D44,0)),0)</f>
        <v>0</v>
      </c>
      <c r="S16" s="4328">
        <f>IF(R16&gt;0,(R16*1.0575+PMT(0.0575,20,'Capital Projects and FR'!$D44,0)),0)</f>
        <v>0</v>
      </c>
      <c r="T16" s="4328">
        <f>IF(S16&gt;0,(S16*1.0575+PMT(0.0575,20,'Capital Projects and FR'!$D44,0)),0)</f>
        <v>0</v>
      </c>
      <c r="U16" s="4328">
        <f>IF(T16&gt;0,(T16*1.0575+PMT(0.0575,20,'Capital Projects and FR'!$D44,0)),0)</f>
        <v>0</v>
      </c>
      <c r="V16" s="4328">
        <f>IF(U16&gt;0,(U16*1.0575+PMT(0.0575,20,'Capital Projects and FR'!$D44,0)),0)</f>
        <v>0</v>
      </c>
      <c r="W16" s="4328">
        <f>IF(V16&gt;0,(V16*1.0575+PMT(0.0575,20,'Capital Projects and FR'!$D44,0)),0)</f>
        <v>0</v>
      </c>
      <c r="X16" s="4328">
        <f>IF(W16&gt;0,(W16*1.0575+PMT(0.0575,20,'Capital Projects and FR'!$D44,0)),0)</f>
        <v>0</v>
      </c>
      <c r="Y16" s="4328">
        <f>IF(X16&gt;0,(X16*1.0575+PMT(0.0575,20,'Capital Projects and FR'!$D44,0)),0)</f>
        <v>0</v>
      </c>
      <c r="Z16" s="4328">
        <f>IF(Y16&gt;0,(Y16*1.0575+PMT(0.0575,20,'Capital Projects and FR'!$D44,0)),0)</f>
        <v>0</v>
      </c>
      <c r="AA16" s="4328"/>
    </row>
    <row r="17" spans="1:27">
      <c r="B17" s="3265" t="str">
        <f>'Capital Projects and FR'!A45</f>
        <v>BSU Expansion of Tunnel Utility Systems</v>
      </c>
      <c r="C17" s="4328"/>
      <c r="D17" s="4328"/>
      <c r="E17" s="4328"/>
      <c r="F17" s="4328"/>
      <c r="G17" s="4328">
        <f>IF('Capital Projects and FR'!$F45&gt;0,('Capital Projects and FR'!D45*1.0575+(PMT(0.0575,20,'Capital Projects and FR'!D45,0))),0)</f>
        <v>0</v>
      </c>
      <c r="H17" s="4328">
        <f>IF(G17&gt;0,(G17*1.0575+PMT(0.0575,20,'Capital Projects and FR'!$D45,0)),0)</f>
        <v>0</v>
      </c>
      <c r="I17" s="4328">
        <f>IF(H17&gt;0,(H17*1.0575+PMT(0.0575,20,'Capital Projects and FR'!$D45,0)),0)</f>
        <v>0</v>
      </c>
      <c r="J17" s="4328">
        <f>IF(I17&gt;0,(I17*1.0575+PMT(0.0575,20,'Capital Projects and FR'!$D45,0)),0)</f>
        <v>0</v>
      </c>
      <c r="K17" s="4328">
        <f>IF(J17&gt;0,(J17*1.0575+PMT(0.0575,20,'Capital Projects and FR'!$D45,0)),0)</f>
        <v>0</v>
      </c>
      <c r="L17" s="4328">
        <f>IF(K17&gt;0,(K17*1.0575+PMT(0.0575,20,'Capital Projects and FR'!$D45,0)),0)</f>
        <v>0</v>
      </c>
      <c r="M17" s="4328">
        <f>IF(L17&gt;0,(L17*1.0575+PMT(0.0575,20,'Capital Projects and FR'!$D45,0)),0)</f>
        <v>0</v>
      </c>
      <c r="N17" s="4328">
        <f>IF(M17&gt;0,(M17*1.0575+PMT(0.0575,20,'Capital Projects and FR'!$D45,0)),0)</f>
        <v>0</v>
      </c>
      <c r="O17" s="4328">
        <f>IF(N17&gt;0,(N17*1.0575+PMT(0.0575,20,'Capital Projects and FR'!$D45,0)),0)</f>
        <v>0</v>
      </c>
      <c r="P17" s="4328">
        <f>IF(O17&gt;0,(O17*1.0575+PMT(0.0575,20,'Capital Projects and FR'!$D45,0)),0)</f>
        <v>0</v>
      </c>
      <c r="Q17" s="4328">
        <f>IF(P17&gt;0,(P17*1.0575+PMT(0.0575,20,'Capital Projects and FR'!$D45,0)),0)</f>
        <v>0</v>
      </c>
      <c r="R17" s="4328">
        <f>IF(Q17&gt;0,(Q17*1.0575+PMT(0.0575,20,'Capital Projects and FR'!$D45,0)),0)</f>
        <v>0</v>
      </c>
      <c r="S17" s="4328">
        <f>IF(R17&gt;0,(R17*1.0575+PMT(0.0575,20,'Capital Projects and FR'!$D45,0)),0)</f>
        <v>0</v>
      </c>
      <c r="T17" s="4328">
        <f>IF(S17&gt;0,(S17*1.0575+PMT(0.0575,20,'Capital Projects and FR'!$D45,0)),0)</f>
        <v>0</v>
      </c>
      <c r="U17" s="4328">
        <f>IF(T17&gt;0,(T17*1.0575+PMT(0.0575,20,'Capital Projects and FR'!$D45,0)),0)</f>
        <v>0</v>
      </c>
      <c r="V17" s="4328">
        <f>IF(U17&gt;0,(U17*1.0575+PMT(0.0575,20,'Capital Projects and FR'!$D45,0)),0)</f>
        <v>0</v>
      </c>
      <c r="W17" s="4328">
        <f>IF(V17&gt;0,(V17*1.0575+PMT(0.0575,20,'Capital Projects and FR'!$D45,0)),0)</f>
        <v>0</v>
      </c>
      <c r="X17" s="4328">
        <f>IF(W17&gt;0,(W17*1.0575+PMT(0.0575,20,'Capital Projects and FR'!$D45,0)),0)</f>
        <v>0</v>
      </c>
      <c r="Y17" s="4328">
        <f>IF(X17&gt;0,(X17*1.0575+PMT(0.0575,20,'Capital Projects and FR'!$D45,0)),0)</f>
        <v>0</v>
      </c>
      <c r="Z17" s="4328">
        <f>IF(Y17&gt;0,(Y17*1.0575+PMT(0.0575,20,'Capital Projects and FR'!$D45,0)),0)</f>
        <v>0</v>
      </c>
      <c r="AA17" s="4328"/>
    </row>
    <row r="18" spans="1:27">
      <c r="B18" s="3265" t="str">
        <f>'Capital Projects and FR'!A46</f>
        <v>BSU Geothermal Phase II</v>
      </c>
      <c r="C18" s="4328"/>
      <c r="D18" s="4328"/>
      <c r="E18" s="4328"/>
      <c r="F18" s="4328"/>
      <c r="G18" s="4328">
        <f>IF('Capital Projects and FR'!$F46&gt;0,('Capital Projects and FR'!D46*1.0575+(PMT(0.0575,20,'Capital Projects and FR'!D46,0))),0)</f>
        <v>0</v>
      </c>
      <c r="H18" s="4328">
        <f>IF(G18&gt;0,(G18*1.0575+PMT(0.0575,20,'Capital Projects and FR'!$D46,0)),0)</f>
        <v>0</v>
      </c>
      <c r="I18" s="4328">
        <f>IF(H18&gt;0,(H18*1.0575+PMT(0.0575,20,'Capital Projects and FR'!$D46,0)),0)</f>
        <v>0</v>
      </c>
      <c r="J18" s="4328">
        <f>IF(I18&gt;0,(I18*1.0575+PMT(0.0575,20,'Capital Projects and FR'!$D46,0)),0)</f>
        <v>0</v>
      </c>
      <c r="K18" s="4328">
        <f>IF(J18&gt;0,(J18*1.0575+PMT(0.0575,20,'Capital Projects and FR'!$D46,0)),0)</f>
        <v>0</v>
      </c>
      <c r="L18" s="4328">
        <f>IF(K18&gt;0,(K18*1.0575+PMT(0.0575,20,'Capital Projects and FR'!$D46,0)),0)</f>
        <v>0</v>
      </c>
      <c r="M18" s="4328">
        <f>IF(L18&gt;0,(L18*1.0575+PMT(0.0575,20,'Capital Projects and FR'!$D46,0)),0)</f>
        <v>0</v>
      </c>
      <c r="N18" s="4328">
        <f>IF(M18&gt;0,(M18*1.0575+PMT(0.0575,20,'Capital Projects and FR'!$D46,0)),0)</f>
        <v>0</v>
      </c>
      <c r="O18" s="4328">
        <f>IF(N18&gt;0,(N18*1.0575+PMT(0.0575,20,'Capital Projects and FR'!$D46,0)),0)</f>
        <v>0</v>
      </c>
      <c r="P18" s="4328">
        <f>IF(O18&gt;0,(O18*1.0575+PMT(0.0575,20,'Capital Projects and FR'!$D46,0)),0)</f>
        <v>0</v>
      </c>
      <c r="Q18" s="4328">
        <f>IF(P18&gt;0,(P18*1.0575+PMT(0.0575,20,'Capital Projects and FR'!$D46,0)),0)</f>
        <v>0</v>
      </c>
      <c r="R18" s="4328">
        <f>IF(Q18&gt;0,(Q18*1.0575+PMT(0.0575,20,'Capital Projects and FR'!$D46,0)),0)</f>
        <v>0</v>
      </c>
      <c r="S18" s="4328">
        <f>IF(R18&gt;0,(R18*1.0575+PMT(0.0575,20,'Capital Projects and FR'!$D46,0)),0)</f>
        <v>0</v>
      </c>
      <c r="T18" s="4328">
        <f>IF(S18&gt;0,(S18*1.0575+PMT(0.0575,20,'Capital Projects and FR'!$D46,0)),0)</f>
        <v>0</v>
      </c>
      <c r="U18" s="4328">
        <f>IF(T18&gt;0,(T18*1.0575+PMT(0.0575,20,'Capital Projects and FR'!$D46,0)),0)</f>
        <v>0</v>
      </c>
      <c r="V18" s="4328">
        <f>IF(U18&gt;0,(U18*1.0575+PMT(0.0575,20,'Capital Projects and FR'!$D46,0)),0)</f>
        <v>0</v>
      </c>
      <c r="W18" s="4328">
        <f>IF(V18&gt;0,(V18*1.0575+PMT(0.0575,20,'Capital Projects and FR'!$D46,0)),0)</f>
        <v>0</v>
      </c>
      <c r="X18" s="4328">
        <f>IF(W18&gt;0,(W18*1.0575+PMT(0.0575,20,'Capital Projects and FR'!$D46,0)),0)</f>
        <v>0</v>
      </c>
      <c r="Y18" s="4328">
        <f>IF(X18&gt;0,(X18*1.0575+PMT(0.0575,20,'Capital Projects and FR'!$D46,0)),0)</f>
        <v>0</v>
      </c>
      <c r="Z18" s="4328">
        <f>IF(Y18&gt;0,(Y18*1.0575+PMT(0.0575,20,'Capital Projects and FR'!$D46,0)),0)</f>
        <v>0</v>
      </c>
      <c r="AA18" s="4328"/>
    </row>
    <row r="19" spans="1:27">
      <c r="B19" s="3265" t="str">
        <f>'Capital Projects and FR'!A47</f>
        <v>BSU STEM and Health Facilities Renovation &amp; Expansion Phase I</v>
      </c>
      <c r="C19" s="4328"/>
      <c r="D19" s="4328"/>
      <c r="E19" s="4328"/>
      <c r="F19" s="4328"/>
      <c r="G19" s="4328">
        <f>IF('Capital Projects and FR'!$F47&gt;0,('Capital Projects and FR'!D47*1.0575+(PMT(0.0575,20,'Capital Projects and FR'!D47,0))),0)</f>
        <v>0</v>
      </c>
      <c r="H19" s="4328">
        <f>IF(G19&gt;0,(G19*1.0575+PMT(0.0575,20,'Capital Projects and FR'!$D47,0)),0)</f>
        <v>0</v>
      </c>
      <c r="I19" s="4328">
        <f>IF(H19&gt;0,(H19*1.0575+PMT(0.0575,20,'Capital Projects and FR'!$D47,0)),0)</f>
        <v>0</v>
      </c>
      <c r="J19" s="4328">
        <f>IF(I19&gt;0,(I19*1.0575+PMT(0.0575,20,'Capital Projects and FR'!$D47,0)),0)</f>
        <v>0</v>
      </c>
      <c r="K19" s="4328">
        <f>IF(J19&gt;0,(J19*1.0575+PMT(0.0575,20,'Capital Projects and FR'!$D47,0)),0)</f>
        <v>0</v>
      </c>
      <c r="L19" s="4328">
        <f>IF(K19&gt;0,(K19*1.0575+PMT(0.0575,20,'Capital Projects and FR'!$D47,0)),0)</f>
        <v>0</v>
      </c>
      <c r="M19" s="4328">
        <f>IF(L19&gt;0,(L19*1.0575+PMT(0.0575,20,'Capital Projects and FR'!$D47,0)),0)</f>
        <v>0</v>
      </c>
      <c r="N19" s="4328">
        <f>IF(M19&gt;0,(M19*1.0575+PMT(0.0575,20,'Capital Projects and FR'!$D47,0)),0)</f>
        <v>0</v>
      </c>
      <c r="O19" s="4328">
        <f>IF(N19&gt;0,(N19*1.0575+PMT(0.0575,20,'Capital Projects and FR'!$D47,0)),0)</f>
        <v>0</v>
      </c>
      <c r="P19" s="4328">
        <f>IF(O19&gt;0,(O19*1.0575+PMT(0.0575,20,'Capital Projects and FR'!$D47,0)),0)</f>
        <v>0</v>
      </c>
      <c r="Q19" s="4328">
        <f>IF(P19&gt;0,(P19*1.0575+PMT(0.0575,20,'Capital Projects and FR'!$D47,0)),0)</f>
        <v>0</v>
      </c>
      <c r="R19" s="4328">
        <f>IF(Q19&gt;0,(Q19*1.0575+PMT(0.0575,20,'Capital Projects and FR'!$D47,0)),0)</f>
        <v>0</v>
      </c>
      <c r="S19" s="4328">
        <f>IF(R19&gt;0,(R19*1.0575+PMT(0.0575,20,'Capital Projects and FR'!$D47,0)),0)</f>
        <v>0</v>
      </c>
      <c r="T19" s="4328">
        <f>IF(S19&gt;0,(S19*1.0575+PMT(0.0575,20,'Capital Projects and FR'!$D47,0)),0)</f>
        <v>0</v>
      </c>
      <c r="U19" s="4328">
        <f>IF(T19&gt;0,(T19*1.0575+PMT(0.0575,20,'Capital Projects and FR'!$D47,0)),0)</f>
        <v>0</v>
      </c>
      <c r="V19" s="4328">
        <f>IF(U19&gt;0,(U19*1.0575+PMT(0.0575,20,'Capital Projects and FR'!$D47,0)),0)</f>
        <v>0</v>
      </c>
      <c r="W19" s="4328">
        <f>IF(V19&gt;0,(V19*1.0575+PMT(0.0575,20,'Capital Projects and FR'!$D47,0)),0)</f>
        <v>0</v>
      </c>
      <c r="X19" s="4328">
        <f>IF(W19&gt;0,(W19*1.0575+PMT(0.0575,20,'Capital Projects and FR'!$D47,0)),0)</f>
        <v>0</v>
      </c>
      <c r="Y19" s="4328">
        <f>IF(X19&gt;0,(X19*1.0575+PMT(0.0575,20,'Capital Projects and FR'!$D47,0)),0)</f>
        <v>0</v>
      </c>
      <c r="Z19" s="4328">
        <f>IF(Y19&gt;0,(Y19*1.0575+PMT(0.0575,20,'Capital Projects and FR'!$D47,0)),0)</f>
        <v>0</v>
      </c>
      <c r="AA19" s="4328"/>
    </row>
    <row r="20" spans="1:27" s="3261" customFormat="1">
      <c r="B20" s="3261" t="s">
        <v>615</v>
      </c>
      <c r="C20" s="4363">
        <f t="shared" ref="C20:AA20" si="1">SUM(C13:C19)</f>
        <v>128310000</v>
      </c>
      <c r="D20" s="4363">
        <f t="shared" si="1"/>
        <v>119715000</v>
      </c>
      <c r="E20" s="4363">
        <f t="shared" si="1"/>
        <v>118660000</v>
      </c>
      <c r="F20" s="4363">
        <f t="shared" si="1"/>
        <v>124745770.468016</v>
      </c>
      <c r="G20" s="4363">
        <f t="shared" si="1"/>
        <v>115939975.23794293</v>
      </c>
      <c r="H20" s="4363">
        <f t="shared" si="1"/>
        <v>108150201.78214066</v>
      </c>
      <c r="I20" s="4363">
        <f t="shared" si="1"/>
        <v>100879956.35262975</v>
      </c>
      <c r="J20" s="4363">
        <f t="shared" si="1"/>
        <v>93235659.310921967</v>
      </c>
      <c r="K20" s="4363">
        <f t="shared" si="1"/>
        <v>85200640.18931599</v>
      </c>
      <c r="L20" s="4363">
        <f t="shared" si="1"/>
        <v>76757132.468217671</v>
      </c>
      <c r="M20" s="4363">
        <f t="shared" si="1"/>
        <v>67882268.053156197</v>
      </c>
      <c r="N20" s="4363">
        <f t="shared" si="1"/>
        <v>60098071.434228681</v>
      </c>
      <c r="O20" s="4363">
        <f t="shared" si="1"/>
        <v>51916453.509712838</v>
      </c>
      <c r="P20" s="4363">
        <f t="shared" si="1"/>
        <v>43324205.054537326</v>
      </c>
      <c r="Q20" s="4363">
        <f t="shared" si="1"/>
        <v>36017989.813189231</v>
      </c>
      <c r="R20" s="4363">
        <f t="shared" si="1"/>
        <v>28338337.19546362</v>
      </c>
      <c r="S20" s="4363">
        <f t="shared" si="1"/>
        <v>21926634.552218787</v>
      </c>
      <c r="T20" s="4363">
        <f t="shared" si="1"/>
        <v>15214119.006987374</v>
      </c>
      <c r="U20" s="4363">
        <f t="shared" si="1"/>
        <v>11541868.817905152</v>
      </c>
      <c r="V20" s="4363">
        <f t="shared" si="1"/>
        <v>7669794.2429507039</v>
      </c>
      <c r="W20" s="4363">
        <f t="shared" si="1"/>
        <v>3592627.8799363757</v>
      </c>
      <c r="X20" s="4363">
        <f t="shared" si="1"/>
        <v>1844914.4510487232</v>
      </c>
      <c r="Y20" s="4363">
        <f t="shared" si="1"/>
        <v>3.0559021979570389E-8</v>
      </c>
      <c r="Z20" s="4363">
        <f t="shared" si="1"/>
        <v>0</v>
      </c>
      <c r="AA20" s="4363">
        <f t="shared" si="1"/>
        <v>0</v>
      </c>
    </row>
    <row r="21" spans="1:27">
      <c r="A21" s="4367"/>
      <c r="B21" s="3386"/>
      <c r="C21" s="3386"/>
      <c r="D21" s="3386"/>
      <c r="E21" s="3386"/>
      <c r="F21" s="3386"/>
      <c r="G21" s="3386"/>
      <c r="H21" s="3386"/>
      <c r="I21" s="3386"/>
      <c r="J21" s="3386"/>
      <c r="K21" s="3386"/>
      <c r="L21" s="3386"/>
      <c r="M21" s="3386"/>
      <c r="N21" s="3386"/>
      <c r="O21" s="3386"/>
      <c r="P21" s="3386"/>
      <c r="Q21" s="3386"/>
      <c r="R21" s="3386"/>
      <c r="S21" s="3386"/>
      <c r="T21" s="3386"/>
      <c r="U21" s="3386"/>
      <c r="V21" s="3386"/>
      <c r="W21" s="3386"/>
      <c r="X21" s="3386"/>
      <c r="Y21" s="3386"/>
      <c r="Z21" s="4368"/>
      <c r="AA21" s="4368"/>
    </row>
    <row r="22" spans="1:27">
      <c r="A22" s="3261" t="s">
        <v>275</v>
      </c>
      <c r="Z22" s="4328"/>
      <c r="AA22" s="4328"/>
    </row>
    <row r="23" spans="1:27" s="4364" customFormat="1">
      <c r="B23" s="4364" t="s">
        <v>637</v>
      </c>
      <c r="C23" s="4365">
        <v>68121644</v>
      </c>
      <c r="D23" s="4365">
        <v>62859308</v>
      </c>
      <c r="E23" s="4365">
        <v>57403549</v>
      </c>
      <c r="F23" s="4365">
        <v>51714133</v>
      </c>
      <c r="G23" s="4365">
        <v>75771760</v>
      </c>
      <c r="H23" s="4365">
        <v>40354675</v>
      </c>
      <c r="I23" s="4365">
        <v>36960878</v>
      </c>
      <c r="J23" s="4365">
        <v>33414368</v>
      </c>
      <c r="K23" s="4365">
        <v>29696289</v>
      </c>
      <c r="L23" s="4365">
        <v>25795497</v>
      </c>
      <c r="M23" s="4365">
        <v>21718136</v>
      </c>
      <c r="N23" s="4365">
        <v>18894207</v>
      </c>
      <c r="O23" s="4365">
        <v>15938708</v>
      </c>
      <c r="P23" s="4365">
        <v>12842785</v>
      </c>
      <c r="Q23" s="4365">
        <v>9601436</v>
      </c>
      <c r="R23" s="4365">
        <v>6749662</v>
      </c>
      <c r="S23" s="4365">
        <v>3763606</v>
      </c>
      <c r="T23" s="4365">
        <v>2718269</v>
      </c>
      <c r="U23" s="4365">
        <v>1628651</v>
      </c>
      <c r="V23" s="4365">
        <v>485891</v>
      </c>
      <c r="W23" s="4365">
        <v>0</v>
      </c>
      <c r="X23" s="4365">
        <v>0</v>
      </c>
      <c r="Y23" s="4365">
        <v>0</v>
      </c>
      <c r="Z23" s="4365">
        <v>0</v>
      </c>
      <c r="AA23" s="4365">
        <v>0</v>
      </c>
    </row>
    <row r="24" spans="1:27">
      <c r="B24" s="3265" t="str">
        <f>'Capital Projects and FR'!A29</f>
        <v>ISU Life Science/Chemistry Lab Renovation Phase II</v>
      </c>
      <c r="C24" s="4328"/>
      <c r="D24" s="4328"/>
      <c r="E24" s="4328"/>
      <c r="F24" s="4328">
        <f>IF('Capital Projects and FR'!$F29&gt;0,('Capital Projects and FR'!D29*1.0575+(PMT(0.0575,20,'Capital Projects and FR'!D29,0))),0)</f>
        <v>4374344.2552988259</v>
      </c>
      <c r="G24" s="4328">
        <f>IF(F24&gt;0,(F24*1.0575+PMT(0.0575,20,'Capital Projects and FR'!$D29,0)),0)</f>
        <v>4241463.3052773336</v>
      </c>
      <c r="H24" s="4328">
        <f>IF(G24&gt;0,(G24*1.0575+PMT(0.0575,20,'Capital Projects and FR'!$D29,0)),0)</f>
        <v>4100941.7006296059</v>
      </c>
      <c r="I24" s="4328">
        <f>IF(H24&gt;0,(H24*1.0575+PMT(0.0575,20,'Capital Projects and FR'!$D29,0)),0)</f>
        <v>3952340.1037146337</v>
      </c>
      <c r="J24" s="4328">
        <f>IF(I24&gt;0,(I24*1.0575+PMT(0.0575,20,'Capital Projects and FR'!$D29,0)),0)</f>
        <v>3795193.9149770504</v>
      </c>
      <c r="K24" s="4328">
        <f>IF(J24&gt;0,(J24*1.0575+PMT(0.0575,20,'Capital Projects and FR'!$D29,0)),0)</f>
        <v>3629011.8203870561</v>
      </c>
      <c r="L24" s="4328">
        <f>IF(K24&gt;0,(K24*1.0575+PMT(0.0575,20,'Capital Projects and FR'!$D29,0)),0)</f>
        <v>3453274.2553581372</v>
      </c>
      <c r="M24" s="4328">
        <f>IF(L24&gt;0,(L24*1.0575+PMT(0.0575,20,'Capital Projects and FR'!$D29,0)),0)</f>
        <v>3267431.7803400555</v>
      </c>
      <c r="N24" s="4328">
        <f>IF(M24&gt;0,(M24*1.0575+PMT(0.0575,20,'Capital Projects and FR'!$D29,0)),0)</f>
        <v>3070903.363008434</v>
      </c>
      <c r="O24" s="4328">
        <f>IF(N24&gt;0,(N24*1.0575+PMT(0.0575,20,'Capital Projects and FR'!$D29,0)),0)</f>
        <v>2863074.5616802443</v>
      </c>
      <c r="P24" s="4328">
        <f>IF(O24&gt;0,(O24*1.0575+PMT(0.0575,20,'Capital Projects and FR'!$D29,0)),0)</f>
        <v>2643295.6042756834</v>
      </c>
      <c r="Q24" s="4328">
        <f>IF(P24&gt;0,(P24*1.0575+PMT(0.0575,20,'Capital Projects and FR'!$D29,0)),0)</f>
        <v>2410879.3568203603</v>
      </c>
      <c r="R24" s="4328">
        <f>IF(Q24&gt;0,(Q24*1.0575+PMT(0.0575,20,'Capital Projects and FR'!$D29,0)),0)</f>
        <v>2165099.1751363561</v>
      </c>
      <c r="S24" s="4328">
        <f>IF(R24&gt;0,(R24*1.0575+PMT(0.0575,20,'Capital Projects and FR'!$D29,0)),0)</f>
        <v>1905186.633005522</v>
      </c>
      <c r="T24" s="4328">
        <f>IF(S24&gt;0,(S24*1.0575+PMT(0.0575,20,'Capital Projects and FR'!$D29,0)),0)</f>
        <v>1630329.1197021648</v>
      </c>
      <c r="U24" s="4328">
        <f>IF(T24&gt;0,(T24*1.0575+PMT(0.0575,20,'Capital Projects and FR'!$D29,0)),0)</f>
        <v>1339667.2993838647</v>
      </c>
      <c r="V24" s="4328">
        <f>IF(U24&gt;0,(U24*1.0575+PMT(0.0575,20,'Capital Projects and FR'!$D29,0)),0)</f>
        <v>1032292.4243972623</v>
      </c>
      <c r="W24" s="4328">
        <f>IF(V24&gt;0,(V24*1.0575+PMT(0.0575,20,'Capital Projects and FR'!$D29,0)),0)</f>
        <v>707243.49409893015</v>
      </c>
      <c r="X24" s="4328">
        <f>IF(W24&gt;0,(W24*1.0575+PMT(0.0575,20,'Capital Projects and FR'!$D29,0)),0)</f>
        <v>363504.25030844385</v>
      </c>
      <c r="Y24" s="4328">
        <f>IF(X24&gt;0,(X24*1.0575+PMT(0.0575,20,'Capital Projects and FR'!$D29,0)),0)</f>
        <v>4.5401975512504578E-9</v>
      </c>
      <c r="Z24" s="4328"/>
      <c r="AA24" s="4328"/>
    </row>
    <row r="25" spans="1:27">
      <c r="B25" s="3265" t="str">
        <f>'Capital Projects and FR'!A49</f>
        <v>ISU Arena Building Phase I</v>
      </c>
      <c r="C25" s="4328"/>
      <c r="D25" s="4328"/>
      <c r="E25" s="4328"/>
      <c r="F25" s="4328"/>
      <c r="G25" s="4328">
        <f>IF('Capital Projects and FR'!$F49&gt;0,('Capital Projects and FR'!D49*1.0575+(PMT(0.0575,20,'Capital Projects and FR'!D49,0))),0)</f>
        <v>0</v>
      </c>
      <c r="H25" s="4328">
        <f>IF(G25&gt;0,(G25*1.0575+PMT(0.0575,20,'Capital Projects and FR'!$D49,0)),0)</f>
        <v>0</v>
      </c>
      <c r="I25" s="4328">
        <f>IF(H25&gt;0,(H25*1.0575+PMT(0.0575,20,'Capital Projects and FR'!$D49,0)),0)</f>
        <v>0</v>
      </c>
      <c r="J25" s="4328">
        <f>IF(I25&gt;0,(I25*1.0575+PMT(0.0575,20,'Capital Projects and FR'!$D49,0)),0)</f>
        <v>0</v>
      </c>
      <c r="K25" s="4328">
        <f>IF(J25&gt;0,(J25*1.0575+PMT(0.0575,20,'Capital Projects and FR'!$D49,0)),0)</f>
        <v>0</v>
      </c>
      <c r="L25" s="4328">
        <f>IF(K25&gt;0,(K25*1.0575+PMT(0.0575,20,'Capital Projects and FR'!$D49,0)),0)</f>
        <v>0</v>
      </c>
      <c r="M25" s="4328">
        <f>IF(L25&gt;0,(L25*1.0575+PMT(0.0575,20,'Capital Projects and FR'!$D49,0)),0)</f>
        <v>0</v>
      </c>
      <c r="N25" s="4328">
        <f>IF(M25&gt;0,(M25*1.0575+PMT(0.0575,20,'Capital Projects and FR'!$D49,0)),0)</f>
        <v>0</v>
      </c>
      <c r="O25" s="4328">
        <f>IF(N25&gt;0,(N25*1.0575+PMT(0.0575,20,'Capital Projects and FR'!$D49,0)),0)</f>
        <v>0</v>
      </c>
      <c r="P25" s="4328">
        <f>IF(O25&gt;0,(O25*1.0575+PMT(0.0575,20,'Capital Projects and FR'!$D49,0)),0)</f>
        <v>0</v>
      </c>
      <c r="Q25" s="4328">
        <f>IF(P25&gt;0,(P25*1.0575+PMT(0.0575,20,'Capital Projects and FR'!$D49,0)),0)</f>
        <v>0</v>
      </c>
      <c r="R25" s="4328">
        <f>IF(Q25&gt;0,(Q25*1.0575+PMT(0.0575,20,'Capital Projects and FR'!$D49,0)),0)</f>
        <v>0</v>
      </c>
      <c r="S25" s="4328">
        <f>IF(R25&gt;0,(R25*1.0575+PMT(0.0575,20,'Capital Projects and FR'!$D49,0)),0)</f>
        <v>0</v>
      </c>
      <c r="T25" s="4328">
        <f>IF(S25&gt;0,(S25*1.0575+PMT(0.0575,20,'Capital Projects and FR'!$D49,0)),0)</f>
        <v>0</v>
      </c>
      <c r="U25" s="4328">
        <f>IF(T25&gt;0,(T25*1.0575+PMT(0.0575,20,'Capital Projects and FR'!$D49,0)),0)</f>
        <v>0</v>
      </c>
      <c r="V25" s="4328">
        <f>IF(U25&gt;0,(U25*1.0575+PMT(0.0575,20,'Capital Projects and FR'!$D49,0)),0)</f>
        <v>0</v>
      </c>
      <c r="W25" s="4328">
        <f>IF(V25&gt;0,(V25*1.0575+PMT(0.0575,20,'Capital Projects and FR'!$D49,0)),0)</f>
        <v>0</v>
      </c>
      <c r="X25" s="4328">
        <f>IF(W25&gt;0,(W25*1.0575+PMT(0.0575,20,'Capital Projects and FR'!$D49,0)),0)</f>
        <v>0</v>
      </c>
      <c r="Y25" s="4328">
        <f>IF(X25&gt;0,(X25*1.0575+PMT(0.0575,20,'Capital Projects and FR'!$D49,0)),0)</f>
        <v>0</v>
      </c>
      <c r="Z25" s="4328">
        <f>IF(Y25&gt;0,(Y25*1.0575+PMT(0.0575,20,'Capital Projects and FR'!$D49,0)),0)</f>
        <v>0</v>
      </c>
      <c r="AA25" s="4328"/>
    </row>
    <row r="26" spans="1:27">
      <c r="B26" s="3265" t="str">
        <f>'Capital Projects and FR'!A50</f>
        <v>ISU Normal Hall</v>
      </c>
      <c r="C26" s="4328"/>
      <c r="D26" s="4328"/>
      <c r="E26" s="4328"/>
      <c r="F26" s="4328"/>
      <c r="G26" s="4328">
        <f>IF('Capital Projects and FR'!$F50&gt;0,('Capital Projects and FR'!D50*1.0575+(PMT(0.0575,20,'Capital Projects and FR'!D50,0))),0)</f>
        <v>0</v>
      </c>
      <c r="H26" s="4328">
        <f>IF(G26&gt;0,(G26*1.0575+PMT(0.0575,20,'Capital Projects and FR'!$D50,0)),0)</f>
        <v>0</v>
      </c>
      <c r="I26" s="4328">
        <f>IF(H26&gt;0,(H26*1.0575+PMT(0.0575,20,'Capital Projects and FR'!$D50,0)),0)</f>
        <v>0</v>
      </c>
      <c r="J26" s="4328">
        <f>IF(I26&gt;0,(I26*1.0575+PMT(0.0575,20,'Capital Projects and FR'!$D50,0)),0)</f>
        <v>0</v>
      </c>
      <c r="K26" s="4328">
        <f>IF(J26&gt;0,(J26*1.0575+PMT(0.0575,20,'Capital Projects and FR'!$D50,0)),0)</f>
        <v>0</v>
      </c>
      <c r="L26" s="4328">
        <f>IF(K26&gt;0,(K26*1.0575+PMT(0.0575,20,'Capital Projects and FR'!$D50,0)),0)</f>
        <v>0</v>
      </c>
      <c r="M26" s="4328">
        <f>IF(L26&gt;0,(L26*1.0575+PMT(0.0575,20,'Capital Projects and FR'!$D50,0)),0)</f>
        <v>0</v>
      </c>
      <c r="N26" s="4328">
        <f>IF(M26&gt;0,(M26*1.0575+PMT(0.0575,20,'Capital Projects and FR'!$D50,0)),0)</f>
        <v>0</v>
      </c>
      <c r="O26" s="4328">
        <f>IF(N26&gt;0,(N26*1.0575+PMT(0.0575,20,'Capital Projects and FR'!$D50,0)),0)</f>
        <v>0</v>
      </c>
      <c r="P26" s="4328">
        <f>IF(O26&gt;0,(O26*1.0575+PMT(0.0575,20,'Capital Projects and FR'!$D50,0)),0)</f>
        <v>0</v>
      </c>
      <c r="Q26" s="4328">
        <f>IF(P26&gt;0,(P26*1.0575+PMT(0.0575,20,'Capital Projects and FR'!$D50,0)),0)</f>
        <v>0</v>
      </c>
      <c r="R26" s="4328">
        <f>IF(Q26&gt;0,(Q26*1.0575+PMT(0.0575,20,'Capital Projects and FR'!$D50,0)),0)</f>
        <v>0</v>
      </c>
      <c r="S26" s="4328">
        <f>IF(R26&gt;0,(R26*1.0575+PMT(0.0575,20,'Capital Projects and FR'!$D50,0)),0)</f>
        <v>0</v>
      </c>
      <c r="T26" s="4328">
        <f>IF(S26&gt;0,(S26*1.0575+PMT(0.0575,20,'Capital Projects and FR'!$D50,0)),0)</f>
        <v>0</v>
      </c>
      <c r="U26" s="4328">
        <f>IF(T26&gt;0,(T26*1.0575+PMT(0.0575,20,'Capital Projects and FR'!$D50,0)),0)</f>
        <v>0</v>
      </c>
      <c r="V26" s="4328">
        <f>IF(U26&gt;0,(U26*1.0575+PMT(0.0575,20,'Capital Projects and FR'!$D50,0)),0)</f>
        <v>0</v>
      </c>
      <c r="W26" s="4328">
        <f>IF(V26&gt;0,(V26*1.0575+PMT(0.0575,20,'Capital Projects and FR'!$D50,0)),0)</f>
        <v>0</v>
      </c>
      <c r="X26" s="4328">
        <f>IF(W26&gt;0,(W26*1.0575+PMT(0.0575,20,'Capital Projects and FR'!$D50,0)),0)</f>
        <v>0</v>
      </c>
      <c r="Y26" s="4328">
        <f>IF(X26&gt;0,(X26*1.0575+PMT(0.0575,20,'Capital Projects and FR'!$D50,0)),0)</f>
        <v>0</v>
      </c>
      <c r="Z26" s="4328">
        <f>IF(Y26&gt;0,(Y26*1.0575+PMT(0.0575,20,'Capital Projects and FR'!$D50,0)),0)</f>
        <v>0</v>
      </c>
      <c r="AA26" s="4328"/>
    </row>
    <row r="27" spans="1:27" s="3261" customFormat="1">
      <c r="B27" s="3261" t="s">
        <v>615</v>
      </c>
      <c r="C27" s="4363">
        <f t="shared" ref="C27:AA27" si="2">SUM(C23:C26)</f>
        <v>68121644</v>
      </c>
      <c r="D27" s="4363">
        <f t="shared" si="2"/>
        <v>62859308</v>
      </c>
      <c r="E27" s="4363">
        <f t="shared" si="2"/>
        <v>57403549</v>
      </c>
      <c r="F27" s="4363">
        <f t="shared" si="2"/>
        <v>56088477.255298823</v>
      </c>
      <c r="G27" s="4363">
        <f t="shared" si="2"/>
        <v>80013223.305277333</v>
      </c>
      <c r="H27" s="4363">
        <f t="shared" si="2"/>
        <v>44455616.700629607</v>
      </c>
      <c r="I27" s="4363">
        <f t="shared" si="2"/>
        <v>40913218.10371463</v>
      </c>
      <c r="J27" s="4363">
        <f t="shared" si="2"/>
        <v>37209561.914977051</v>
      </c>
      <c r="K27" s="4363">
        <f t="shared" si="2"/>
        <v>33325300.820387058</v>
      </c>
      <c r="L27" s="4363">
        <f t="shared" si="2"/>
        <v>29248771.255358137</v>
      </c>
      <c r="M27" s="4363">
        <f t="shared" si="2"/>
        <v>24985567.780340057</v>
      </c>
      <c r="N27" s="4363">
        <f t="shared" si="2"/>
        <v>21965110.363008432</v>
      </c>
      <c r="O27" s="4363">
        <f t="shared" si="2"/>
        <v>18801782.561680242</v>
      </c>
      <c r="P27" s="4363">
        <f t="shared" si="2"/>
        <v>15486080.604275683</v>
      </c>
      <c r="Q27" s="4363">
        <f t="shared" si="2"/>
        <v>12012315.35682036</v>
      </c>
      <c r="R27" s="4363">
        <f t="shared" si="2"/>
        <v>8914761.1751363557</v>
      </c>
      <c r="S27" s="4363">
        <f t="shared" si="2"/>
        <v>5668792.6330055222</v>
      </c>
      <c r="T27" s="4363">
        <f t="shared" si="2"/>
        <v>4348598.119702165</v>
      </c>
      <c r="U27" s="4363">
        <f t="shared" si="2"/>
        <v>2968318.2993838647</v>
      </c>
      <c r="V27" s="4363">
        <f t="shared" si="2"/>
        <v>1518183.4243972623</v>
      </c>
      <c r="W27" s="4363">
        <f t="shared" si="2"/>
        <v>707243.49409893015</v>
      </c>
      <c r="X27" s="4363">
        <f t="shared" si="2"/>
        <v>363504.25030844385</v>
      </c>
      <c r="Y27" s="4363">
        <f t="shared" si="2"/>
        <v>4.5401975512504578E-9</v>
      </c>
      <c r="Z27" s="4363">
        <f t="shared" si="2"/>
        <v>0</v>
      </c>
      <c r="AA27" s="4363">
        <f t="shared" si="2"/>
        <v>0</v>
      </c>
    </row>
    <row r="28" spans="1:27">
      <c r="A28" s="4367"/>
      <c r="B28" s="3386"/>
      <c r="C28" s="3386"/>
      <c r="D28" s="3386"/>
      <c r="E28" s="3386"/>
      <c r="F28" s="3386"/>
      <c r="G28" s="3386"/>
      <c r="H28" s="3386"/>
      <c r="I28" s="3386"/>
      <c r="J28" s="3386"/>
      <c r="K28" s="3386"/>
      <c r="L28" s="3386"/>
      <c r="M28" s="3386"/>
      <c r="N28" s="3386"/>
      <c r="O28" s="3386"/>
      <c r="P28" s="3386"/>
      <c r="Q28" s="3386"/>
      <c r="R28" s="3386"/>
      <c r="S28" s="3386"/>
      <c r="T28" s="3386"/>
      <c r="U28" s="3386"/>
      <c r="V28" s="3386"/>
      <c r="W28" s="3386"/>
      <c r="X28" s="3386"/>
      <c r="Y28" s="3386"/>
      <c r="Z28" s="4368"/>
      <c r="AA28" s="4368"/>
    </row>
    <row r="29" spans="1:27">
      <c r="A29" s="4366" t="s">
        <v>902</v>
      </c>
      <c r="B29" s="4250"/>
      <c r="Z29" s="4328"/>
      <c r="AA29" s="4328"/>
    </row>
    <row r="30" spans="1:27" s="4364" customFormat="1">
      <c r="B30" s="4364" t="s">
        <v>637</v>
      </c>
      <c r="C30" s="4365">
        <v>137026786</v>
      </c>
      <c r="D30" s="4365">
        <v>126022819</v>
      </c>
      <c r="E30" s="4365">
        <v>115024052</v>
      </c>
      <c r="F30" s="4365">
        <v>104023335</v>
      </c>
      <c r="G30" s="4365">
        <v>94000503</v>
      </c>
      <c r="H30" s="4365">
        <v>84324842</v>
      </c>
      <c r="I30" s="4365">
        <v>74648604</v>
      </c>
      <c r="J30" s="4365">
        <v>66618422</v>
      </c>
      <c r="K30" s="4365">
        <v>58590972</v>
      </c>
      <c r="L30" s="4365">
        <v>50565753</v>
      </c>
      <c r="M30" s="4365">
        <v>42539193</v>
      </c>
      <c r="N30" s="4365">
        <v>34508613</v>
      </c>
      <c r="O30" s="4365">
        <v>26479225</v>
      </c>
      <c r="P30" s="4365">
        <v>20510050</v>
      </c>
      <c r="Q30" s="4365">
        <v>14540375</v>
      </c>
      <c r="R30" s="4365">
        <v>11633119</v>
      </c>
      <c r="S30" s="4365">
        <v>8723831</v>
      </c>
      <c r="T30" s="4365">
        <v>5815419</v>
      </c>
      <c r="U30" s="4365">
        <v>2906219</v>
      </c>
      <c r="V30" s="4365">
        <v>0</v>
      </c>
      <c r="W30" s="4365">
        <v>0</v>
      </c>
      <c r="X30" s="4365">
        <v>0</v>
      </c>
      <c r="Y30" s="4365">
        <v>0</v>
      </c>
      <c r="Z30" s="4365">
        <v>0</v>
      </c>
      <c r="AA30" s="4365">
        <v>0</v>
      </c>
    </row>
    <row r="31" spans="1:27">
      <c r="A31" s="3265"/>
      <c r="B31" s="3265" t="s">
        <v>901</v>
      </c>
      <c r="C31" s="4328"/>
      <c r="D31" s="4328"/>
      <c r="E31" s="4328">
        <f>(13000000*1.0575)+PMT(0.0575,20,13000000,0,0)</f>
        <v>12636994.515307719</v>
      </c>
      <c r="F31" s="4328">
        <f>(E31*1.0575)+PMT(0.0575,20,13000000,0,0)</f>
        <v>12253116.215245631</v>
      </c>
      <c r="G31" s="4328">
        <f t="shared" ref="G31:X31" si="3">(F31*1.0575)+PMT(0.0575,20,13000000,0,0)</f>
        <v>11847164.912929973</v>
      </c>
      <c r="H31" s="4328">
        <f t="shared" si="3"/>
        <v>11417871.410731165</v>
      </c>
      <c r="I31" s="4328">
        <f t="shared" si="3"/>
        <v>10963893.532155925</v>
      </c>
      <c r="J31" s="4328">
        <f t="shared" si="3"/>
        <v>10483811.925562609</v>
      </c>
      <c r="K31" s="4328">
        <f t="shared" si="3"/>
        <v>9976125.6265901774</v>
      </c>
      <c r="L31" s="4328">
        <f t="shared" si="3"/>
        <v>9439247.3654268309</v>
      </c>
      <c r="M31" s="4328">
        <f t="shared" si="3"/>
        <v>8871498.6042465921</v>
      </c>
      <c r="N31" s="4328">
        <f t="shared" si="3"/>
        <v>8271104.2892984897</v>
      </c>
      <c r="O31" s="4328">
        <f t="shared" si="3"/>
        <v>7636187.3012408707</v>
      </c>
      <c r="P31" s="4328">
        <f t="shared" si="3"/>
        <v>6964762.5863699382</v>
      </c>
      <c r="Q31" s="4328">
        <f t="shared" si="3"/>
        <v>6254730.9503939273</v>
      </c>
      <c r="R31" s="4328">
        <f t="shared" si="3"/>
        <v>5503872.4953492954</v>
      </c>
      <c r="S31" s="4328">
        <f t="shared" si="3"/>
        <v>4709839.6791395973</v>
      </c>
      <c r="T31" s="4328">
        <f t="shared" si="3"/>
        <v>3870149.9759978419</v>
      </c>
      <c r="U31" s="4328">
        <f t="shared" si="3"/>
        <v>2982178.1149254357</v>
      </c>
      <c r="V31" s="4328">
        <f t="shared" si="3"/>
        <v>2043147.8718413657</v>
      </c>
      <c r="W31" s="4328">
        <f t="shared" si="3"/>
        <v>1050123.3897799619</v>
      </c>
      <c r="X31" s="4328">
        <f t="shared" si="3"/>
        <v>2.7008354663848877E-8</v>
      </c>
      <c r="Y31" s="4328">
        <v>0</v>
      </c>
      <c r="Z31" s="4328">
        <v>0</v>
      </c>
      <c r="AA31" s="4328"/>
    </row>
    <row r="32" spans="1:27">
      <c r="B32" s="3265" t="str">
        <f>'Capital Projects and FR'!A76</f>
        <v>USI Classroom Renovation/Expansion</v>
      </c>
      <c r="C32" s="4328"/>
      <c r="D32" s="4328"/>
      <c r="E32" s="4328"/>
      <c r="F32" s="4328"/>
      <c r="G32" s="4328">
        <f>IF('Capital Projects and FR'!$F76&gt;0,('Capital Projects and FR'!D76*1.0575+(PMT(0.0575,20,'Capital Projects and FR'!D76,0))),0)</f>
        <v>0</v>
      </c>
      <c r="H32" s="4328">
        <f>IF(G32&gt;0,(G32*1.0575+PMT(0.0575,20,'Capital Projects and FR'!$D76,0)),0)</f>
        <v>0</v>
      </c>
      <c r="I32" s="4328">
        <f>IF(H32&gt;0,(H32*1.0575+PMT(0.0575,20,'Capital Projects and FR'!$D76,0)),0)</f>
        <v>0</v>
      </c>
      <c r="J32" s="4328">
        <f>IF(I32&gt;0,(I32*1.0575+PMT(0.0575,20,'Capital Projects and FR'!$D76,0)),0)</f>
        <v>0</v>
      </c>
      <c r="K32" s="4328">
        <f>IF(J32&gt;0,(J32*1.0575+PMT(0.0575,20,'Capital Projects and FR'!$D76,0)),0)</f>
        <v>0</v>
      </c>
      <c r="L32" s="4328">
        <f>IF(K32&gt;0,(K32*1.0575+PMT(0.0575,20,'Capital Projects and FR'!$D76,0)),0)</f>
        <v>0</v>
      </c>
      <c r="M32" s="4328">
        <f>IF(L32&gt;0,(L32*1.0575+PMT(0.0575,20,'Capital Projects and FR'!$D76,0)),0)</f>
        <v>0</v>
      </c>
      <c r="N32" s="4328">
        <f>IF(M32&gt;0,(M32*1.0575+PMT(0.0575,20,'Capital Projects and FR'!$D76,0)),0)</f>
        <v>0</v>
      </c>
      <c r="O32" s="4328">
        <f>IF(N32&gt;0,(N32*1.0575+PMT(0.0575,20,'Capital Projects and FR'!$D76,0)),0)</f>
        <v>0</v>
      </c>
      <c r="P32" s="4328">
        <f>IF(O32&gt;0,(O32*1.0575+PMT(0.0575,20,'Capital Projects and FR'!$D76,0)),0)</f>
        <v>0</v>
      </c>
      <c r="Q32" s="4328">
        <f>IF(P32&gt;0,(P32*1.0575+PMT(0.0575,20,'Capital Projects and FR'!$D76,0)),0)</f>
        <v>0</v>
      </c>
      <c r="R32" s="4328">
        <f>IF(Q32&gt;0,(Q32*1.0575+PMT(0.0575,20,'Capital Projects and FR'!$D76,0)),0)</f>
        <v>0</v>
      </c>
      <c r="S32" s="4328">
        <f>IF(R32&gt;0,(R32*1.0575+PMT(0.0575,20,'Capital Projects and FR'!$D76,0)),0)</f>
        <v>0</v>
      </c>
      <c r="T32" s="4328">
        <f>IF(S32&gt;0,(S32*1.0575+PMT(0.0575,20,'Capital Projects and FR'!$D76,0)),0)</f>
        <v>0</v>
      </c>
      <c r="U32" s="4328">
        <f>IF(T32&gt;0,(T32*1.0575+PMT(0.0575,20,'Capital Projects and FR'!$D76,0)),0)</f>
        <v>0</v>
      </c>
      <c r="V32" s="4328">
        <f>IF(U32&gt;0,(U32*1.0575+PMT(0.0575,20,'Capital Projects and FR'!$D76,0)),0)</f>
        <v>0</v>
      </c>
      <c r="W32" s="4328">
        <f>IF(V32&gt;0,(V32*1.0575+PMT(0.0575,20,'Capital Projects and FR'!$D76,0)),0)</f>
        <v>0</v>
      </c>
      <c r="X32" s="4328">
        <f>IF(W32&gt;0,(W32*1.0575+PMT(0.0575,20,'Capital Projects and FR'!$D76,0)),0)</f>
        <v>0</v>
      </c>
      <c r="Y32" s="4328">
        <f>IF(X32&gt;0,(X32*1.0575+PMT(0.0575,20,'Capital Projects and FR'!$D76,0)),0)</f>
        <v>0</v>
      </c>
      <c r="Z32" s="4328">
        <f>IF(Y32&gt;0,(Y32*1.0575+PMT(0.0575,20,'Capital Projects and FR'!$D76,0)),0)</f>
        <v>0</v>
      </c>
      <c r="AA32" s="4328"/>
    </row>
    <row r="33" spans="1:27" s="3261" customFormat="1">
      <c r="B33" s="3261" t="s">
        <v>615</v>
      </c>
      <c r="C33" s="4363">
        <f t="shared" ref="C33:AA33" si="4">SUM(C30:C32)</f>
        <v>137026786</v>
      </c>
      <c r="D33" s="4363">
        <f t="shared" si="4"/>
        <v>126022819</v>
      </c>
      <c r="E33" s="4363">
        <f t="shared" si="4"/>
        <v>127661046.51530772</v>
      </c>
      <c r="F33" s="4363">
        <f t="shared" si="4"/>
        <v>116276451.21524563</v>
      </c>
      <c r="G33" s="4363">
        <f t="shared" si="4"/>
        <v>105847667.91292997</v>
      </c>
      <c r="H33" s="4363">
        <f t="shared" si="4"/>
        <v>95742713.410731167</v>
      </c>
      <c r="I33" s="4363">
        <f t="shared" si="4"/>
        <v>85612497.532155931</v>
      </c>
      <c r="J33" s="4363">
        <f t="shared" si="4"/>
        <v>77102233.925562605</v>
      </c>
      <c r="K33" s="4363">
        <f t="shared" si="4"/>
        <v>68567097.626590177</v>
      </c>
      <c r="L33" s="4363">
        <f t="shared" si="4"/>
        <v>60005000.365426831</v>
      </c>
      <c r="M33" s="4363">
        <f t="shared" si="4"/>
        <v>51410691.604246594</v>
      </c>
      <c r="N33" s="4363">
        <f t="shared" si="4"/>
        <v>42779717.28929849</v>
      </c>
      <c r="O33" s="4363">
        <f t="shared" si="4"/>
        <v>34115412.301240869</v>
      </c>
      <c r="P33" s="4363">
        <f t="shared" si="4"/>
        <v>27474812.586369939</v>
      </c>
      <c r="Q33" s="4363">
        <f t="shared" si="4"/>
        <v>20795105.950393926</v>
      </c>
      <c r="R33" s="4363">
        <f t="shared" si="4"/>
        <v>17136991.495349295</v>
      </c>
      <c r="S33" s="4363">
        <f t="shared" si="4"/>
        <v>13433670.679139597</v>
      </c>
      <c r="T33" s="4363">
        <f t="shared" si="4"/>
        <v>9685568.9759978428</v>
      </c>
      <c r="U33" s="4363">
        <f t="shared" si="4"/>
        <v>5888397.1149254357</v>
      </c>
      <c r="V33" s="4363">
        <f t="shared" si="4"/>
        <v>2043147.8718413657</v>
      </c>
      <c r="W33" s="4363">
        <f t="shared" si="4"/>
        <v>1050123.3897799619</v>
      </c>
      <c r="X33" s="4363">
        <f t="shared" si="4"/>
        <v>2.7008354663848877E-8</v>
      </c>
      <c r="Y33" s="4363">
        <f t="shared" si="4"/>
        <v>0</v>
      </c>
      <c r="Z33" s="4363">
        <f t="shared" si="4"/>
        <v>0</v>
      </c>
      <c r="AA33" s="4363">
        <f t="shared" si="4"/>
        <v>0</v>
      </c>
    </row>
    <row r="34" spans="1:27">
      <c r="A34" s="4367"/>
      <c r="B34" s="3386"/>
      <c r="C34" s="3386"/>
      <c r="D34" s="3386"/>
      <c r="E34" s="3386"/>
      <c r="F34" s="3386"/>
      <c r="G34" s="3386"/>
      <c r="H34" s="3386"/>
      <c r="I34" s="3386"/>
      <c r="J34" s="3386"/>
      <c r="K34" s="3386"/>
      <c r="L34" s="3386"/>
      <c r="M34" s="3386"/>
      <c r="N34" s="3386"/>
      <c r="O34" s="3386"/>
      <c r="P34" s="3386"/>
      <c r="Q34" s="3386"/>
      <c r="R34" s="3386"/>
      <c r="S34" s="3386"/>
      <c r="T34" s="3386"/>
      <c r="U34" s="3386"/>
      <c r="V34" s="3386"/>
      <c r="W34" s="3386"/>
      <c r="X34" s="3386"/>
      <c r="Y34" s="3386"/>
      <c r="Z34" s="4368"/>
      <c r="AA34" s="4368"/>
    </row>
    <row r="35" spans="1:27">
      <c r="A35" s="3261" t="s">
        <v>407</v>
      </c>
      <c r="Z35" s="4328"/>
      <c r="AA35" s="4328"/>
    </row>
    <row r="36" spans="1:27" s="4364" customFormat="1">
      <c r="B36" s="4364" t="s">
        <v>637</v>
      </c>
      <c r="C36" s="4365">
        <v>293644000</v>
      </c>
      <c r="D36" s="4365">
        <v>285600000</v>
      </c>
      <c r="E36" s="4365">
        <v>266305000</v>
      </c>
      <c r="F36" s="4365">
        <v>248295000</v>
      </c>
      <c r="G36" s="4365">
        <v>230125000</v>
      </c>
      <c r="H36" s="4365">
        <v>211740000</v>
      </c>
      <c r="I36" s="4365">
        <v>192505000</v>
      </c>
      <c r="J36" s="4365">
        <v>172645000</v>
      </c>
      <c r="K36" s="4365">
        <v>154970000</v>
      </c>
      <c r="L36" s="4365">
        <v>136505000</v>
      </c>
      <c r="M36" s="4365">
        <v>118865000</v>
      </c>
      <c r="N36" s="4365">
        <v>104135000</v>
      </c>
      <c r="O36" s="4365">
        <v>89200000</v>
      </c>
      <c r="P36" s="4365">
        <v>73580000</v>
      </c>
      <c r="Q36" s="4365">
        <v>57380000</v>
      </c>
      <c r="R36" s="4365">
        <v>40270000</v>
      </c>
      <c r="S36" s="4365">
        <v>22615000</v>
      </c>
      <c r="T36" s="4365">
        <v>12470000</v>
      </c>
      <c r="U36" s="4365">
        <v>5770000</v>
      </c>
      <c r="V36" s="4365">
        <v>1545000</v>
      </c>
      <c r="W36" s="4365">
        <v>785000</v>
      </c>
      <c r="X36" s="4365">
        <v>0</v>
      </c>
      <c r="Y36" s="4365">
        <v>0</v>
      </c>
      <c r="Z36" s="4365">
        <v>0</v>
      </c>
      <c r="AA36" s="4365">
        <v>0</v>
      </c>
    </row>
    <row r="37" spans="1:27">
      <c r="B37" s="3265" t="str">
        <f>'Capital Projects and FR'!A30</f>
        <v>ITCCI Anderson</v>
      </c>
      <c r="C37" s="4328"/>
      <c r="D37" s="4328"/>
      <c r="E37" s="4328"/>
      <c r="F37" s="4328">
        <f>IF('Capital Projects and FR'!$F30&gt;0,('Capital Projects and FR'!D30*1.0575+(PMT(0.0575,20,'Capital Projects and FR'!D30,0))),0)</f>
        <v>19441530.023550339</v>
      </c>
      <c r="G37" s="4328">
        <f>IF(F37&gt;0,(F37*1.0575+PMT(0.0575,20,'Capital Projects and FR'!$D30,0)),0)</f>
        <v>18850948.023454823</v>
      </c>
      <c r="H37" s="4328">
        <f>IF(G37&gt;0,(G37*1.0575+PMT(0.0575,20,'Capital Projects and FR'!$D30,0)),0)</f>
        <v>18226407.558353812</v>
      </c>
      <c r="I37" s="4328">
        <f>IF(H37&gt;0,(H37*1.0575+PMT(0.0575,20,'Capital Projects and FR'!$D30,0)),0)</f>
        <v>17565956.016509492</v>
      </c>
      <c r="J37" s="4328">
        <f>IF(I37&gt;0,(I37*1.0575+PMT(0.0575,20,'Capital Projects and FR'!$D30,0)),0)</f>
        <v>16867528.511009123</v>
      </c>
      <c r="K37" s="4328">
        <f>IF(J37&gt;0,(J37*1.0575+PMT(0.0575,20,'Capital Projects and FR'!$D30,0)),0)</f>
        <v>16128941.423942482</v>
      </c>
      <c r="L37" s="4328">
        <f>IF(K37&gt;0,(K37*1.0575+PMT(0.0575,20,'Capital Projects and FR'!$D30,0)),0)</f>
        <v>15347885.57936951</v>
      </c>
      <c r="M37" s="4328">
        <f>IF(L37&gt;0,(L37*1.0575+PMT(0.0575,20,'Capital Projects and FR'!$D30,0)),0)</f>
        <v>14521919.023733592</v>
      </c>
      <c r="N37" s="4328">
        <f>IF(M37&gt;0,(M37*1.0575+PMT(0.0575,20,'Capital Projects and FR'!$D30,0)),0)</f>
        <v>13648459.391148608</v>
      </c>
      <c r="O37" s="4328">
        <f>IF(N37&gt;0,(N37*1.0575+PMT(0.0575,20,'Capital Projects and FR'!$D30,0)),0)</f>
        <v>12724775.829689989</v>
      </c>
      <c r="P37" s="4328">
        <f>IF(O37&gt;0,(O37*1.0575+PMT(0.0575,20,'Capital Projects and FR'!$D30,0)),0)</f>
        <v>11747980.463447498</v>
      </c>
      <c r="Q37" s="4328">
        <f>IF(P37&gt;0,(P37*1.0575+PMT(0.0575,20,'Capital Projects and FR'!$D30,0)),0)</f>
        <v>10715019.363646064</v>
      </c>
      <c r="R37" s="4328">
        <f>IF(Q37&gt;0,(Q37*1.0575+PMT(0.0575,20,'Capital Projects and FR'!$D30,0)),0)</f>
        <v>9622663.000606047</v>
      </c>
      <c r="S37" s="4328">
        <f>IF(R37&gt;0,(R37*1.0575+PMT(0.0575,20,'Capital Projects and FR'!$D30,0)),0)</f>
        <v>8467496.1466912292</v>
      </c>
      <c r="T37" s="4328">
        <f>IF(S37&gt;0,(S37*1.0575+PMT(0.0575,20,'Capital Projects and FR'!$D30,0)),0)</f>
        <v>7245907.1986763095</v>
      </c>
      <c r="U37" s="4328">
        <f>IF(T37&gt;0,(T37*1.0575+PMT(0.0575,20,'Capital Projects and FR'!$D30,0)),0)</f>
        <v>5954076.8861505324</v>
      </c>
      <c r="V37" s="4328">
        <f>IF(U37&gt;0,(U37*1.0575+PMT(0.0575,20,'Capital Projects and FR'!$D30,0)),0)</f>
        <v>4587966.3306545233</v>
      </c>
      <c r="W37" s="4328">
        <f>IF(V37&gt;0,(V37*1.0575+PMT(0.0575,20,'Capital Projects and FR'!$D30,0)),0)</f>
        <v>3143304.4182174932</v>
      </c>
      <c r="X37" s="4328">
        <f>IF(W37&gt;0,(W37*1.0575+PMT(0.0575,20,'Capital Projects and FR'!$D30,0)),0)</f>
        <v>1615574.4458153334</v>
      </c>
      <c r="Y37" s="4328">
        <f>IF(X37&gt;0,(X37*1.0575+PMT(0.0575,20,'Capital Projects and FR'!$D30,0)),0)</f>
        <v>4.9360096454620361E-8</v>
      </c>
      <c r="Z37" s="4328"/>
      <c r="AA37" s="4328"/>
    </row>
    <row r="38" spans="1:27">
      <c r="B38" s="3265" t="str">
        <f>'Capital Projects and FR'!A31</f>
        <v>ITCCI Bloomington</v>
      </c>
      <c r="C38" s="4328"/>
      <c r="D38" s="4328"/>
      <c r="E38" s="4328"/>
      <c r="F38" s="4328">
        <f>IF('Capital Projects and FR'!$F31&gt;0,('Capital Projects and FR'!D31*1.0575+(PMT(0.0575,20,'Capital Projects and FR'!D31,0))),0)</f>
        <v>19441530.023550339</v>
      </c>
      <c r="G38" s="4328">
        <f>IF(F38&gt;0,(F38*1.0575+PMT(0.0575,20,'Capital Projects and FR'!$D31,0)),0)</f>
        <v>18850948.023454823</v>
      </c>
      <c r="H38" s="4328">
        <f>IF(G38&gt;0,(G38*1.0575+PMT(0.0575,20,'Capital Projects and FR'!$D31,0)),0)</f>
        <v>18226407.558353812</v>
      </c>
      <c r="I38" s="4328">
        <f>IF(H38&gt;0,(H38*1.0575+PMT(0.0575,20,'Capital Projects and FR'!$D31,0)),0)</f>
        <v>17565956.016509492</v>
      </c>
      <c r="J38" s="4328">
        <f>IF(I38&gt;0,(I38*1.0575+PMT(0.0575,20,'Capital Projects and FR'!$D31,0)),0)</f>
        <v>16867528.511009123</v>
      </c>
      <c r="K38" s="4328">
        <f>IF(J38&gt;0,(J38*1.0575+PMT(0.0575,20,'Capital Projects and FR'!$D31,0)),0)</f>
        <v>16128941.423942482</v>
      </c>
      <c r="L38" s="4328">
        <f>IF(K38&gt;0,(K38*1.0575+PMT(0.0575,20,'Capital Projects and FR'!$D31,0)),0)</f>
        <v>15347885.57936951</v>
      </c>
      <c r="M38" s="4328">
        <f>IF(L38&gt;0,(L38*1.0575+PMT(0.0575,20,'Capital Projects and FR'!$D31,0)),0)</f>
        <v>14521919.023733592</v>
      </c>
      <c r="N38" s="4328">
        <f>IF(M38&gt;0,(M38*1.0575+PMT(0.0575,20,'Capital Projects and FR'!$D31,0)),0)</f>
        <v>13648459.391148608</v>
      </c>
      <c r="O38" s="4328">
        <f>IF(N38&gt;0,(N38*1.0575+PMT(0.0575,20,'Capital Projects and FR'!$D31,0)),0)</f>
        <v>12724775.829689989</v>
      </c>
      <c r="P38" s="4328">
        <f>IF(O38&gt;0,(O38*1.0575+PMT(0.0575,20,'Capital Projects and FR'!$D31,0)),0)</f>
        <v>11747980.463447498</v>
      </c>
      <c r="Q38" s="4328">
        <f>IF(P38&gt;0,(P38*1.0575+PMT(0.0575,20,'Capital Projects and FR'!$D31,0)),0)</f>
        <v>10715019.363646064</v>
      </c>
      <c r="R38" s="4328">
        <f>IF(Q38&gt;0,(Q38*1.0575+PMT(0.0575,20,'Capital Projects and FR'!$D31,0)),0)</f>
        <v>9622663.000606047</v>
      </c>
      <c r="S38" s="4328">
        <f>IF(R38&gt;0,(R38*1.0575+PMT(0.0575,20,'Capital Projects and FR'!$D31,0)),0)</f>
        <v>8467496.1466912292</v>
      </c>
      <c r="T38" s="4328">
        <f>IF(S38&gt;0,(S38*1.0575+PMT(0.0575,20,'Capital Projects and FR'!$D31,0)),0)</f>
        <v>7245907.1986763095</v>
      </c>
      <c r="U38" s="4328">
        <f>IF(T38&gt;0,(T38*1.0575+PMT(0.0575,20,'Capital Projects and FR'!$D31,0)),0)</f>
        <v>5954076.8861505324</v>
      </c>
      <c r="V38" s="4328">
        <f>IF(U38&gt;0,(U38*1.0575+PMT(0.0575,20,'Capital Projects and FR'!$D31,0)),0)</f>
        <v>4587966.3306545233</v>
      </c>
      <c r="W38" s="4328">
        <f>IF(V38&gt;0,(V38*1.0575+PMT(0.0575,20,'Capital Projects and FR'!$D31,0)),0)</f>
        <v>3143304.4182174932</v>
      </c>
      <c r="X38" s="4328">
        <f>IF(W38&gt;0,(W38*1.0575+PMT(0.0575,20,'Capital Projects and FR'!$D31,0)),0)</f>
        <v>1615574.4458153334</v>
      </c>
      <c r="Y38" s="4328">
        <f>IF(X38&gt;0,(X38*1.0575+PMT(0.0575,20,'Capital Projects and FR'!$D31,0)),0)</f>
        <v>4.9360096454620361E-8</v>
      </c>
      <c r="Z38" s="4328"/>
      <c r="AA38" s="4328"/>
    </row>
    <row r="39" spans="1:27">
      <c r="B39" s="3265" t="str">
        <f>'Capital Projects and FR'!A32</f>
        <v>ITCCI Gary</v>
      </c>
      <c r="C39" s="4328"/>
      <c r="D39" s="4328"/>
      <c r="E39" s="4328"/>
      <c r="F39" s="4328">
        <f>IF('Capital Projects and FR'!$F32&gt;0,('Capital Projects and FR'!D32*1.0575+(PMT(0.0575,20,'Capital Projects and FR'!D32,0))),0)</f>
        <v>0</v>
      </c>
      <c r="G39" s="4328">
        <f>IF(F39&gt;0,(F39*1.0575+PMT(0.0575,20,'Capital Projects and FR'!$D32,0)),0)</f>
        <v>0</v>
      </c>
      <c r="H39" s="4328">
        <f>IF(G39&gt;0,(G39*1.0575+PMT(0.0575,20,'Capital Projects and FR'!$D32,0)),0)</f>
        <v>0</v>
      </c>
      <c r="I39" s="4328">
        <f>IF(H39&gt;0,(H39*1.0575+PMT(0.0575,20,'Capital Projects and FR'!$D32,0)),0)</f>
        <v>0</v>
      </c>
      <c r="J39" s="4328">
        <f>IF(I39&gt;0,(I39*1.0575+PMT(0.0575,20,'Capital Projects and FR'!$D32,0)),0)</f>
        <v>0</v>
      </c>
      <c r="K39" s="4328">
        <f>IF(J39&gt;0,(J39*1.0575+PMT(0.0575,20,'Capital Projects and FR'!$D32,0)),0)</f>
        <v>0</v>
      </c>
      <c r="L39" s="4328">
        <f>IF(K39&gt;0,(K39*1.0575+PMT(0.0575,20,'Capital Projects and FR'!$D32,0)),0)</f>
        <v>0</v>
      </c>
      <c r="M39" s="4328">
        <f>IF(L39&gt;0,(L39*1.0575+PMT(0.0575,20,'Capital Projects and FR'!$D32,0)),0)</f>
        <v>0</v>
      </c>
      <c r="N39" s="4328">
        <f>IF(M39&gt;0,(M39*1.0575+PMT(0.0575,20,'Capital Projects and FR'!$D32,0)),0)</f>
        <v>0</v>
      </c>
      <c r="O39" s="4328">
        <f>IF(N39&gt;0,(N39*1.0575+PMT(0.0575,20,'Capital Projects and FR'!$D32,0)),0)</f>
        <v>0</v>
      </c>
      <c r="P39" s="4328">
        <f>IF(O39&gt;0,(O39*1.0575+PMT(0.0575,20,'Capital Projects and FR'!$D32,0)),0)</f>
        <v>0</v>
      </c>
      <c r="Q39" s="4328">
        <f>IF(P39&gt;0,(P39*1.0575+PMT(0.0575,20,'Capital Projects and FR'!$D32,0)),0)</f>
        <v>0</v>
      </c>
      <c r="R39" s="4328">
        <f>IF(Q39&gt;0,(Q39*1.0575+PMT(0.0575,20,'Capital Projects and FR'!$D32,0)),0)</f>
        <v>0</v>
      </c>
      <c r="S39" s="4328">
        <f>IF(R39&gt;0,(R39*1.0575+PMT(0.0575,20,'Capital Projects and FR'!$D32,0)),0)</f>
        <v>0</v>
      </c>
      <c r="T39" s="4328">
        <f>IF(S39&gt;0,(S39*1.0575+PMT(0.0575,20,'Capital Projects and FR'!$D32,0)),0)</f>
        <v>0</v>
      </c>
      <c r="U39" s="4328">
        <f>IF(T39&gt;0,(T39*1.0575+PMT(0.0575,20,'Capital Projects and FR'!$D32,0)),0)</f>
        <v>0</v>
      </c>
      <c r="V39" s="4328">
        <f>IF(U39&gt;0,(U39*1.0575+PMT(0.0575,20,'Capital Projects and FR'!$D32,0)),0)</f>
        <v>0</v>
      </c>
      <c r="W39" s="4328">
        <f>IF(V39&gt;0,(V39*1.0575+PMT(0.0575,20,'Capital Projects and FR'!$D32,0)),0)</f>
        <v>0</v>
      </c>
      <c r="X39" s="4328">
        <f>IF(W39&gt;0,(W39*1.0575+PMT(0.0575,20,'Capital Projects and FR'!$D32,0)),0)</f>
        <v>0</v>
      </c>
      <c r="Y39" s="4328">
        <f>IF(X39&gt;0,(X39*1.0575+PMT(0.0575,20,'Capital Projects and FR'!$D32,0)),0)</f>
        <v>0</v>
      </c>
      <c r="Z39" s="4328"/>
      <c r="AA39" s="4328"/>
    </row>
    <row r="40" spans="1:27">
      <c r="B40" s="3265" t="str">
        <f>'Capital Projects and FR'!A33</f>
        <v>ITCCI Indianapolis Fall Creek Expansion (Balance of Auth)</v>
      </c>
      <c r="C40" s="4328"/>
      <c r="D40" s="4328"/>
      <c r="E40" s="4328"/>
      <c r="F40" s="4328">
        <f>IF('Capital Projects and FR'!$F33&gt;0,('Capital Projects and FR'!D33*1.0575+(PMT(0.0575,20,'Capital Projects and FR'!D33,0))),0)</f>
        <v>22453120.231848404</v>
      </c>
      <c r="G40" s="4328">
        <f>IF(F40&gt;0,(F40*1.0575+PMT(0.0575,20,'Capital Projects and FR'!$D33,0)),0)</f>
        <v>21771054.127028089</v>
      </c>
      <c r="H40" s="4328">
        <f>IF(G40&gt;0,(G40*1.0575+PMT(0.0575,20,'Capital Projects and FR'!$D33,0)),0)</f>
        <v>21049769.221180607</v>
      </c>
      <c r="I40" s="4328">
        <f>IF(H40&gt;0,(H40*1.0575+PMT(0.0575,20,'Capital Projects and FR'!$D33,0)),0)</f>
        <v>20287010.433246896</v>
      </c>
      <c r="J40" s="4328">
        <f>IF(I40&gt;0,(I40*1.0575+PMT(0.0575,20,'Capital Projects and FR'!$D33,0)),0)</f>
        <v>19480393.015006993</v>
      </c>
      <c r="K40" s="4328">
        <f>IF(J40&gt;0,(J40*1.0575+PMT(0.0575,20,'Capital Projects and FR'!$D33,0)),0)</f>
        <v>18627395.095218297</v>
      </c>
      <c r="L40" s="4328">
        <f>IF(K40&gt;0,(K40*1.0575+PMT(0.0575,20,'Capital Projects and FR'!$D33,0)),0)</f>
        <v>17725349.795041751</v>
      </c>
      <c r="M40" s="4328">
        <f>IF(L40&gt;0,(L40*1.0575+PMT(0.0575,20,'Capital Projects and FR'!$D33,0)),0)</f>
        <v>16771436.890105052</v>
      </c>
      <c r="N40" s="4328">
        <f>IF(M40&gt;0,(M40*1.0575+PMT(0.0575,20,'Capital Projects and FR'!$D33,0)),0)</f>
        <v>15762673.993134493</v>
      </c>
      <c r="O40" s="4328">
        <f>IF(N40&gt;0,(N40*1.0575+PMT(0.0575,20,'Capital Projects and FR'!$D33,0)),0)</f>
        <v>14695907.229588127</v>
      </c>
      <c r="P40" s="4328">
        <f>IF(O40&gt;0,(O40*1.0575+PMT(0.0575,20,'Capital Projects and FR'!$D33,0)),0)</f>
        <v>13567801.377137844</v>
      </c>
      <c r="Q40" s="4328">
        <f>IF(P40&gt;0,(P40*1.0575+PMT(0.0575,20,'Capital Projects and FR'!$D33,0)),0)</f>
        <v>12374829.43817167</v>
      </c>
      <c r="R40" s="4328">
        <f>IF(Q40&gt;0,(Q40*1.0575+PMT(0.0575,20,'Capital Projects and FR'!$D33,0)),0)</f>
        <v>11113261.612714941</v>
      </c>
      <c r="S40" s="4328">
        <f>IF(R40&gt;0,(R40*1.0575+PMT(0.0575,20,'Capital Projects and FR'!$D33,0)),0)</f>
        <v>9779153.6372944489</v>
      </c>
      <c r="T40" s="4328">
        <f>IF(S40&gt;0,(S40*1.0575+PMT(0.0575,20,'Capital Projects and FR'!$D33,0)),0)</f>
        <v>8368334.4532872792</v>
      </c>
      <c r="U40" s="4328">
        <f>IF(T40&gt;0,(T40*1.0575+PMT(0.0575,20,'Capital Projects and FR'!$D33,0)),0)</f>
        <v>6876393.1661996972</v>
      </c>
      <c r="V40" s="4328">
        <f>IF(U40&gt;0,(U40*1.0575+PMT(0.0575,20,'Capital Projects and FR'!$D33,0)),0)</f>
        <v>5298665.255104579</v>
      </c>
      <c r="W40" s="4328">
        <f>IF(V40&gt;0,(V40*1.0575+PMT(0.0575,20,'Capital Projects and FR'!$D33,0)),0)</f>
        <v>3630217.9891214911</v>
      </c>
      <c r="X40" s="4328">
        <f>IF(W40&gt;0,(W40*1.0575+PMT(0.0575,20,'Capital Projects and FR'!$D33,0)),0)</f>
        <v>1865835.0053443757</v>
      </c>
      <c r="Y40" s="4328">
        <f>IF(X40&gt;0,(X40*1.0575+PMT(0.0575,20,'Capital Projects and FR'!$D33,0)),0)</f>
        <v>7.5902789831161499E-8</v>
      </c>
      <c r="Z40" s="4328"/>
      <c r="AA40" s="4328"/>
    </row>
    <row r="41" spans="1:27">
      <c r="B41" s="3265" t="str">
        <f>'Capital Projects and FR'!A51</f>
        <v>ITCCI Columbus Addition and Renovation</v>
      </c>
      <c r="C41" s="4328"/>
      <c r="D41" s="4328"/>
      <c r="E41" s="4328"/>
      <c r="F41" s="4328"/>
      <c r="G41" s="4328">
        <f>IF('Capital Projects and FR'!$F51&gt;0,('Capital Projects and FR'!D51*1.0575+(PMT(0.0575,20,'Capital Projects and FR'!D51,0))),0)</f>
        <v>0</v>
      </c>
      <c r="H41" s="4328">
        <f>IF(G41&gt;0,(G41*1.0575+PMT(0.0575,20,'Capital Projects and FR'!$D51,0)),0)</f>
        <v>0</v>
      </c>
      <c r="I41" s="4328">
        <f>IF(H41&gt;0,(H41*1.0575+PMT(0.0575,20,'Capital Projects and FR'!$D51,0)),0)</f>
        <v>0</v>
      </c>
      <c r="J41" s="4328">
        <f>IF(I41&gt;0,(I41*1.0575+PMT(0.0575,20,'Capital Projects and FR'!$D51,0)),0)</f>
        <v>0</v>
      </c>
      <c r="K41" s="4328">
        <f>IF(J41&gt;0,(J41*1.0575+PMT(0.0575,20,'Capital Projects and FR'!$D51,0)),0)</f>
        <v>0</v>
      </c>
      <c r="L41" s="4328">
        <f>IF(K41&gt;0,(K41*1.0575+PMT(0.0575,20,'Capital Projects and FR'!$D51,0)),0)</f>
        <v>0</v>
      </c>
      <c r="M41" s="4328">
        <f>IF(L41&gt;0,(L41*1.0575+PMT(0.0575,20,'Capital Projects and FR'!$D51,0)),0)</f>
        <v>0</v>
      </c>
      <c r="N41" s="4328">
        <f>IF(M41&gt;0,(M41*1.0575+PMT(0.0575,20,'Capital Projects and FR'!$D51,0)),0)</f>
        <v>0</v>
      </c>
      <c r="O41" s="4328">
        <f>IF(N41&gt;0,(N41*1.0575+PMT(0.0575,20,'Capital Projects and FR'!$D51,0)),0)</f>
        <v>0</v>
      </c>
      <c r="P41" s="4328">
        <f>IF(O41&gt;0,(O41*1.0575+PMT(0.0575,20,'Capital Projects and FR'!$D51,0)),0)</f>
        <v>0</v>
      </c>
      <c r="Q41" s="4328">
        <f>IF(P41&gt;0,(P41*1.0575+PMT(0.0575,20,'Capital Projects and FR'!$D51,0)),0)</f>
        <v>0</v>
      </c>
      <c r="R41" s="4328">
        <f>IF(Q41&gt;0,(Q41*1.0575+PMT(0.0575,20,'Capital Projects and FR'!$D51,0)),0)</f>
        <v>0</v>
      </c>
      <c r="S41" s="4328">
        <f>IF(R41&gt;0,(R41*1.0575+PMT(0.0575,20,'Capital Projects and FR'!$D51,0)),0)</f>
        <v>0</v>
      </c>
      <c r="T41" s="4328">
        <f>IF(S41&gt;0,(S41*1.0575+PMT(0.0575,20,'Capital Projects and FR'!$D51,0)),0)</f>
        <v>0</v>
      </c>
      <c r="U41" s="4328">
        <f>IF(T41&gt;0,(T41*1.0575+PMT(0.0575,20,'Capital Projects and FR'!$D51,0)),0)</f>
        <v>0</v>
      </c>
      <c r="V41" s="4328">
        <f>IF(U41&gt;0,(U41*1.0575+PMT(0.0575,20,'Capital Projects and FR'!$D51,0)),0)</f>
        <v>0</v>
      </c>
      <c r="W41" s="4328">
        <f>IF(V41&gt;0,(V41*1.0575+PMT(0.0575,20,'Capital Projects and FR'!$D51,0)),0)</f>
        <v>0</v>
      </c>
      <c r="X41" s="4328">
        <f>IF(W41&gt;0,(W41*1.0575+PMT(0.0575,20,'Capital Projects and FR'!$D51,0)),0)</f>
        <v>0</v>
      </c>
      <c r="Y41" s="4328">
        <f>IF(X41&gt;0,(X41*1.0575+PMT(0.0575,20,'Capital Projects and FR'!$D51,0)),0)</f>
        <v>0</v>
      </c>
      <c r="Z41" s="4328">
        <f>IF(Y41&gt;0,(Y41*1.0575+PMT(0.0575,20,'Capital Projects and FR'!$D51,0)),0)</f>
        <v>0</v>
      </c>
      <c r="AA41" s="4328"/>
    </row>
    <row r="42" spans="1:27">
      <c r="B42" s="3265" t="str">
        <f>'Capital Projects and FR'!A52</f>
        <v>ITCCI Evansville New Campus</v>
      </c>
      <c r="C42" s="4328"/>
      <c r="D42" s="4328"/>
      <c r="E42" s="4328"/>
      <c r="F42" s="4328"/>
      <c r="G42" s="4328">
        <f>IF('Capital Projects and FR'!$F52&gt;0,('Capital Projects and FR'!D52*1.0575+(PMT(0.0575,20,'Capital Projects and FR'!D52,0))),0)</f>
        <v>0</v>
      </c>
      <c r="H42" s="4328">
        <f>IF(G42&gt;0,(G42*1.0575+PMT(0.0575,20,'Capital Projects and FR'!$D52,0)),0)</f>
        <v>0</v>
      </c>
      <c r="I42" s="4328">
        <f>IF(H42&gt;0,(H42*1.0575+PMT(0.0575,20,'Capital Projects and FR'!$D52,0)),0)</f>
        <v>0</v>
      </c>
      <c r="J42" s="4328">
        <f>IF(I42&gt;0,(I42*1.0575+PMT(0.0575,20,'Capital Projects and FR'!$D52,0)),0)</f>
        <v>0</v>
      </c>
      <c r="K42" s="4328">
        <f>IF(J42&gt;0,(J42*1.0575+PMT(0.0575,20,'Capital Projects and FR'!$D52,0)),0)</f>
        <v>0</v>
      </c>
      <c r="L42" s="4328">
        <f>IF(K42&gt;0,(K42*1.0575+PMT(0.0575,20,'Capital Projects and FR'!$D52,0)),0)</f>
        <v>0</v>
      </c>
      <c r="M42" s="4328">
        <f>IF(L42&gt;0,(L42*1.0575+PMT(0.0575,20,'Capital Projects and FR'!$D52,0)),0)</f>
        <v>0</v>
      </c>
      <c r="N42" s="4328">
        <f>IF(M42&gt;0,(M42*1.0575+PMT(0.0575,20,'Capital Projects and FR'!$D52,0)),0)</f>
        <v>0</v>
      </c>
      <c r="O42" s="4328">
        <f>IF(N42&gt;0,(N42*1.0575+PMT(0.0575,20,'Capital Projects and FR'!$D52,0)),0)</f>
        <v>0</v>
      </c>
      <c r="P42" s="4328">
        <f>IF(O42&gt;0,(O42*1.0575+PMT(0.0575,20,'Capital Projects and FR'!$D52,0)),0)</f>
        <v>0</v>
      </c>
      <c r="Q42" s="4328">
        <f>IF(P42&gt;0,(P42*1.0575+PMT(0.0575,20,'Capital Projects and FR'!$D52,0)),0)</f>
        <v>0</v>
      </c>
      <c r="R42" s="4328">
        <f>IF(Q42&gt;0,(Q42*1.0575+PMT(0.0575,20,'Capital Projects and FR'!$D52,0)),0)</f>
        <v>0</v>
      </c>
      <c r="S42" s="4328">
        <f>IF(R42&gt;0,(R42*1.0575+PMT(0.0575,20,'Capital Projects and FR'!$D52,0)),0)</f>
        <v>0</v>
      </c>
      <c r="T42" s="4328">
        <f>IF(S42&gt;0,(S42*1.0575+PMT(0.0575,20,'Capital Projects and FR'!$D52,0)),0)</f>
        <v>0</v>
      </c>
      <c r="U42" s="4328">
        <f>IF(T42&gt;0,(T42*1.0575+PMT(0.0575,20,'Capital Projects and FR'!$D52,0)),0)</f>
        <v>0</v>
      </c>
      <c r="V42" s="4328">
        <f>IF(U42&gt;0,(U42*1.0575+PMT(0.0575,20,'Capital Projects and FR'!$D52,0)),0)</f>
        <v>0</v>
      </c>
      <c r="W42" s="4328">
        <f>IF(V42&gt;0,(V42*1.0575+PMT(0.0575,20,'Capital Projects and FR'!$D52,0)),0)</f>
        <v>0</v>
      </c>
      <c r="X42" s="4328">
        <f>IF(W42&gt;0,(W42*1.0575+PMT(0.0575,20,'Capital Projects and FR'!$D52,0)),0)</f>
        <v>0</v>
      </c>
      <c r="Y42" s="4328">
        <f>IF(X42&gt;0,(X42*1.0575+PMT(0.0575,20,'Capital Projects and FR'!$D52,0)),0)</f>
        <v>0</v>
      </c>
      <c r="Z42" s="4328">
        <f>IF(Y42&gt;0,(Y42*1.0575+PMT(0.0575,20,'Capital Projects and FR'!$D52,0)),0)</f>
        <v>0</v>
      </c>
      <c r="AA42" s="4328"/>
    </row>
    <row r="43" spans="1:27">
      <c r="B43" s="3265" t="str">
        <f>'Capital Projects and FR'!A53</f>
        <v>ITCCI Greencastle Addition</v>
      </c>
      <c r="C43" s="4328"/>
      <c r="D43" s="4328"/>
      <c r="E43" s="4328"/>
      <c r="F43" s="4328"/>
      <c r="G43" s="4328">
        <f>IF('Capital Projects and FR'!$F53&gt;0,('Capital Projects and FR'!D53*1.0575+(PMT(0.0575,20,'Capital Projects and FR'!D53,0))),0)</f>
        <v>0</v>
      </c>
      <c r="H43" s="4328">
        <f>IF(G43&gt;0,(G43*1.0575+PMT(0.0575,20,'Capital Projects and FR'!$D53,0)),0)</f>
        <v>0</v>
      </c>
      <c r="I43" s="4328">
        <f>IF(H43&gt;0,(H43*1.0575+PMT(0.0575,20,'Capital Projects and FR'!$D53,0)),0)</f>
        <v>0</v>
      </c>
      <c r="J43" s="4328">
        <f>IF(I43&gt;0,(I43*1.0575+PMT(0.0575,20,'Capital Projects and FR'!$D53,0)),0)</f>
        <v>0</v>
      </c>
      <c r="K43" s="4328">
        <f>IF(J43&gt;0,(J43*1.0575+PMT(0.0575,20,'Capital Projects and FR'!$D53,0)),0)</f>
        <v>0</v>
      </c>
      <c r="L43" s="4328">
        <f>IF(K43&gt;0,(K43*1.0575+PMT(0.0575,20,'Capital Projects and FR'!$D53,0)),0)</f>
        <v>0</v>
      </c>
      <c r="M43" s="4328">
        <f>IF(L43&gt;0,(L43*1.0575+PMT(0.0575,20,'Capital Projects and FR'!$D53,0)),0)</f>
        <v>0</v>
      </c>
      <c r="N43" s="4328">
        <f>IF(M43&gt;0,(M43*1.0575+PMT(0.0575,20,'Capital Projects and FR'!$D53,0)),0)</f>
        <v>0</v>
      </c>
      <c r="O43" s="4328">
        <f>IF(N43&gt;0,(N43*1.0575+PMT(0.0575,20,'Capital Projects and FR'!$D53,0)),0)</f>
        <v>0</v>
      </c>
      <c r="P43" s="4328">
        <f>IF(O43&gt;0,(O43*1.0575+PMT(0.0575,20,'Capital Projects and FR'!$D53,0)),0)</f>
        <v>0</v>
      </c>
      <c r="Q43" s="4328">
        <f>IF(P43&gt;0,(P43*1.0575+PMT(0.0575,20,'Capital Projects and FR'!$D53,0)),0)</f>
        <v>0</v>
      </c>
      <c r="R43" s="4328">
        <f>IF(Q43&gt;0,(Q43*1.0575+PMT(0.0575,20,'Capital Projects and FR'!$D53,0)),0)</f>
        <v>0</v>
      </c>
      <c r="S43" s="4328">
        <f>IF(R43&gt;0,(R43*1.0575+PMT(0.0575,20,'Capital Projects and FR'!$D53,0)),0)</f>
        <v>0</v>
      </c>
      <c r="T43" s="4328">
        <f>IF(S43&gt;0,(S43*1.0575+PMT(0.0575,20,'Capital Projects and FR'!$D53,0)),0)</f>
        <v>0</v>
      </c>
      <c r="U43" s="4328">
        <f>IF(T43&gt;0,(T43*1.0575+PMT(0.0575,20,'Capital Projects and FR'!$D53,0)),0)</f>
        <v>0</v>
      </c>
      <c r="V43" s="4328">
        <f>IF(U43&gt;0,(U43*1.0575+PMT(0.0575,20,'Capital Projects and FR'!$D53,0)),0)</f>
        <v>0</v>
      </c>
      <c r="W43" s="4328">
        <f>IF(V43&gt;0,(V43*1.0575+PMT(0.0575,20,'Capital Projects and FR'!$D53,0)),0)</f>
        <v>0</v>
      </c>
      <c r="X43" s="4328">
        <f>IF(W43&gt;0,(W43*1.0575+PMT(0.0575,20,'Capital Projects and FR'!$D53,0)),0)</f>
        <v>0</v>
      </c>
      <c r="Y43" s="4328">
        <f>IF(X43&gt;0,(X43*1.0575+PMT(0.0575,20,'Capital Projects and FR'!$D53,0)),0)</f>
        <v>0</v>
      </c>
      <c r="Z43" s="4328">
        <f>IF(Y43&gt;0,(Y43*1.0575+PMT(0.0575,20,'Capital Projects and FR'!$D53,0)),0)</f>
        <v>0</v>
      </c>
      <c r="AA43" s="4328"/>
    </row>
    <row r="44" spans="1:27">
      <c r="B44" s="3265" t="str">
        <f>'Capital Projects and FR'!A54</f>
        <v>ITCCI Indianapolis New Construction and Renovation</v>
      </c>
      <c r="C44" s="4328"/>
      <c r="D44" s="4328"/>
      <c r="E44" s="4328"/>
      <c r="F44" s="4328"/>
      <c r="G44" s="4328">
        <f>IF('Capital Projects and FR'!$F54&gt;0,('Capital Projects and FR'!D54*1.0575+(PMT(0.0575,20,'Capital Projects and FR'!D54,0))),0)</f>
        <v>0</v>
      </c>
      <c r="H44" s="4328">
        <f>IF(G44&gt;0,(G44*1.0575+PMT(0.0575,20,'Capital Projects and FR'!$D54,0)),0)</f>
        <v>0</v>
      </c>
      <c r="I44" s="4328">
        <f>IF(H44&gt;0,(H44*1.0575+PMT(0.0575,20,'Capital Projects and FR'!$D54,0)),0)</f>
        <v>0</v>
      </c>
      <c r="J44" s="4328">
        <f>IF(I44&gt;0,(I44*1.0575+PMT(0.0575,20,'Capital Projects and FR'!$D54,0)),0)</f>
        <v>0</v>
      </c>
      <c r="K44" s="4328">
        <f>IF(J44&gt;0,(J44*1.0575+PMT(0.0575,20,'Capital Projects and FR'!$D54,0)),0)</f>
        <v>0</v>
      </c>
      <c r="L44" s="4328">
        <f>IF(K44&gt;0,(K44*1.0575+PMT(0.0575,20,'Capital Projects and FR'!$D54,0)),0)</f>
        <v>0</v>
      </c>
      <c r="M44" s="4328">
        <f>IF(L44&gt;0,(L44*1.0575+PMT(0.0575,20,'Capital Projects and FR'!$D54,0)),0)</f>
        <v>0</v>
      </c>
      <c r="N44" s="4328">
        <f>IF(M44&gt;0,(M44*1.0575+PMT(0.0575,20,'Capital Projects and FR'!$D54,0)),0)</f>
        <v>0</v>
      </c>
      <c r="O44" s="4328">
        <f>IF(N44&gt;0,(N44*1.0575+PMT(0.0575,20,'Capital Projects and FR'!$D54,0)),0)</f>
        <v>0</v>
      </c>
      <c r="P44" s="4328">
        <f>IF(O44&gt;0,(O44*1.0575+PMT(0.0575,20,'Capital Projects and FR'!$D54,0)),0)</f>
        <v>0</v>
      </c>
      <c r="Q44" s="4328">
        <f>IF(P44&gt;0,(P44*1.0575+PMT(0.0575,20,'Capital Projects and FR'!$D54,0)),0)</f>
        <v>0</v>
      </c>
      <c r="R44" s="4328">
        <f>IF(Q44&gt;0,(Q44*1.0575+PMT(0.0575,20,'Capital Projects and FR'!$D54,0)),0)</f>
        <v>0</v>
      </c>
      <c r="S44" s="4328">
        <f>IF(R44&gt;0,(R44*1.0575+PMT(0.0575,20,'Capital Projects and FR'!$D54,0)),0)</f>
        <v>0</v>
      </c>
      <c r="T44" s="4328">
        <f>IF(S44&gt;0,(S44*1.0575+PMT(0.0575,20,'Capital Projects and FR'!$D54,0)),0)</f>
        <v>0</v>
      </c>
      <c r="U44" s="4328">
        <f>IF(T44&gt;0,(T44*1.0575+PMT(0.0575,20,'Capital Projects and FR'!$D54,0)),0)</f>
        <v>0</v>
      </c>
      <c r="V44" s="4328">
        <f>IF(U44&gt;0,(U44*1.0575+PMT(0.0575,20,'Capital Projects and FR'!$D54,0)),0)</f>
        <v>0</v>
      </c>
      <c r="W44" s="4328">
        <f>IF(V44&gt;0,(V44*1.0575+PMT(0.0575,20,'Capital Projects and FR'!$D54,0)),0)</f>
        <v>0</v>
      </c>
      <c r="X44" s="4328">
        <f>IF(W44&gt;0,(W44*1.0575+PMT(0.0575,20,'Capital Projects and FR'!$D54,0)),0)</f>
        <v>0</v>
      </c>
      <c r="Y44" s="4328">
        <f>IF(X44&gt;0,(X44*1.0575+PMT(0.0575,20,'Capital Projects and FR'!$D54,0)),0)</f>
        <v>0</v>
      </c>
      <c r="Z44" s="4328">
        <f>IF(Y44&gt;0,(Y44*1.0575+PMT(0.0575,20,'Capital Projects and FR'!$D54,0)),0)</f>
        <v>0</v>
      </c>
      <c r="AA44" s="4328"/>
    </row>
    <row r="45" spans="1:27">
      <c r="B45" s="3265" t="str">
        <f>'Capital Projects and FR'!A55</f>
        <v>ITCCI Kokomo New Construction and Renovation</v>
      </c>
      <c r="C45" s="4328"/>
      <c r="D45" s="4328"/>
      <c r="E45" s="4328"/>
      <c r="F45" s="4328"/>
      <c r="G45" s="4328">
        <f>IF('Capital Projects and FR'!$F55&gt;0,('Capital Projects and FR'!D55*1.0575+(PMT(0.0575,20,'Capital Projects and FR'!D55,0))),0)</f>
        <v>0</v>
      </c>
      <c r="H45" s="4328">
        <f>IF(G45&gt;0,(G45*1.0575+PMT(0.0575,20,'Capital Projects and FR'!$D55,0)),0)</f>
        <v>0</v>
      </c>
      <c r="I45" s="4328">
        <f>IF(H45&gt;0,(H45*1.0575+PMT(0.0575,20,'Capital Projects and FR'!$D55,0)),0)</f>
        <v>0</v>
      </c>
      <c r="J45" s="4328">
        <f>IF(I45&gt;0,(I45*1.0575+PMT(0.0575,20,'Capital Projects and FR'!$D55,0)),0)</f>
        <v>0</v>
      </c>
      <c r="K45" s="4328">
        <f>IF(J45&gt;0,(J45*1.0575+PMT(0.0575,20,'Capital Projects and FR'!$D55,0)),0)</f>
        <v>0</v>
      </c>
      <c r="L45" s="4328">
        <f>IF(K45&gt;0,(K45*1.0575+PMT(0.0575,20,'Capital Projects and FR'!$D55,0)),0)</f>
        <v>0</v>
      </c>
      <c r="M45" s="4328">
        <f>IF(L45&gt;0,(L45*1.0575+PMT(0.0575,20,'Capital Projects and FR'!$D55,0)),0)</f>
        <v>0</v>
      </c>
      <c r="N45" s="4328">
        <f>IF(M45&gt;0,(M45*1.0575+PMT(0.0575,20,'Capital Projects and FR'!$D55,0)),0)</f>
        <v>0</v>
      </c>
      <c r="O45" s="4328">
        <f>IF(N45&gt;0,(N45*1.0575+PMT(0.0575,20,'Capital Projects and FR'!$D55,0)),0)</f>
        <v>0</v>
      </c>
      <c r="P45" s="4328">
        <f>IF(O45&gt;0,(O45*1.0575+PMT(0.0575,20,'Capital Projects and FR'!$D55,0)),0)</f>
        <v>0</v>
      </c>
      <c r="Q45" s="4328">
        <f>IF(P45&gt;0,(P45*1.0575+PMT(0.0575,20,'Capital Projects and FR'!$D55,0)),0)</f>
        <v>0</v>
      </c>
      <c r="R45" s="4328">
        <f>IF(Q45&gt;0,(Q45*1.0575+PMT(0.0575,20,'Capital Projects and FR'!$D55,0)),0)</f>
        <v>0</v>
      </c>
      <c r="S45" s="4328">
        <f>IF(R45&gt;0,(R45*1.0575+PMT(0.0575,20,'Capital Projects and FR'!$D55,0)),0)</f>
        <v>0</v>
      </c>
      <c r="T45" s="4328">
        <f>IF(S45&gt;0,(S45*1.0575+PMT(0.0575,20,'Capital Projects and FR'!$D55,0)),0)</f>
        <v>0</v>
      </c>
      <c r="U45" s="4328">
        <f>IF(T45&gt;0,(T45*1.0575+PMT(0.0575,20,'Capital Projects and FR'!$D55,0)),0)</f>
        <v>0</v>
      </c>
      <c r="V45" s="4328">
        <f>IF(U45&gt;0,(U45*1.0575+PMT(0.0575,20,'Capital Projects and FR'!$D55,0)),0)</f>
        <v>0</v>
      </c>
      <c r="W45" s="4328">
        <f>IF(V45&gt;0,(V45*1.0575+PMT(0.0575,20,'Capital Projects and FR'!$D55,0)),0)</f>
        <v>0</v>
      </c>
      <c r="X45" s="4328">
        <f>IF(W45&gt;0,(W45*1.0575+PMT(0.0575,20,'Capital Projects and FR'!$D55,0)),0)</f>
        <v>0</v>
      </c>
      <c r="Y45" s="4328">
        <f>IF(X45&gt;0,(X45*1.0575+PMT(0.0575,20,'Capital Projects and FR'!$D55,0)),0)</f>
        <v>0</v>
      </c>
      <c r="Z45" s="4328">
        <f>IF(Y45&gt;0,(Y45*1.0575+PMT(0.0575,20,'Capital Projects and FR'!$D55,0)),0)</f>
        <v>0</v>
      </c>
      <c r="AA45" s="4328"/>
    </row>
    <row r="46" spans="1:27">
      <c r="B46" s="3265" t="str">
        <f>'Capital Projects and FR'!A56</f>
        <v>ITCCI Lafayette Enterprise Center</v>
      </c>
      <c r="C46" s="4328"/>
      <c r="D46" s="4328"/>
      <c r="E46" s="4328"/>
      <c r="F46" s="4328"/>
      <c r="G46" s="4328">
        <f>IF('Capital Projects and FR'!$F56&gt;0,('Capital Projects and FR'!D56*1.0575+(PMT(0.0575,20,'Capital Projects and FR'!D56,0))),0)</f>
        <v>0</v>
      </c>
      <c r="H46" s="4328">
        <f>IF(G46&gt;0,(G46*1.0575+PMT(0.0575,20,'Capital Projects and FR'!$D56,0)),0)</f>
        <v>0</v>
      </c>
      <c r="I46" s="4328">
        <f>IF(H46&gt;0,(H46*1.0575+PMT(0.0575,20,'Capital Projects and FR'!$D56,0)),0)</f>
        <v>0</v>
      </c>
      <c r="J46" s="4328">
        <f>IF(I46&gt;0,(I46*1.0575+PMT(0.0575,20,'Capital Projects and FR'!$D56,0)),0)</f>
        <v>0</v>
      </c>
      <c r="K46" s="4328">
        <f>IF(J46&gt;0,(J46*1.0575+PMT(0.0575,20,'Capital Projects and FR'!$D56,0)),0)</f>
        <v>0</v>
      </c>
      <c r="L46" s="4328">
        <f>IF(K46&gt;0,(K46*1.0575+PMT(0.0575,20,'Capital Projects and FR'!$D56,0)),0)</f>
        <v>0</v>
      </c>
      <c r="M46" s="4328">
        <f>IF(L46&gt;0,(L46*1.0575+PMT(0.0575,20,'Capital Projects and FR'!$D56,0)),0)</f>
        <v>0</v>
      </c>
      <c r="N46" s="4328">
        <f>IF(M46&gt;0,(M46*1.0575+PMT(0.0575,20,'Capital Projects and FR'!$D56,0)),0)</f>
        <v>0</v>
      </c>
      <c r="O46" s="4328">
        <f>IF(N46&gt;0,(N46*1.0575+PMT(0.0575,20,'Capital Projects and FR'!$D56,0)),0)</f>
        <v>0</v>
      </c>
      <c r="P46" s="4328">
        <f>IF(O46&gt;0,(O46*1.0575+PMT(0.0575,20,'Capital Projects and FR'!$D56,0)),0)</f>
        <v>0</v>
      </c>
      <c r="Q46" s="4328">
        <f>IF(P46&gt;0,(P46*1.0575+PMT(0.0575,20,'Capital Projects and FR'!$D56,0)),0)</f>
        <v>0</v>
      </c>
      <c r="R46" s="4328">
        <f>IF(Q46&gt;0,(Q46*1.0575+PMT(0.0575,20,'Capital Projects and FR'!$D56,0)),0)</f>
        <v>0</v>
      </c>
      <c r="S46" s="4328">
        <f>IF(R46&gt;0,(R46*1.0575+PMT(0.0575,20,'Capital Projects and FR'!$D56,0)),0)</f>
        <v>0</v>
      </c>
      <c r="T46" s="4328">
        <f>IF(S46&gt;0,(S46*1.0575+PMT(0.0575,20,'Capital Projects and FR'!$D56,0)),0)</f>
        <v>0</v>
      </c>
      <c r="U46" s="4328">
        <f>IF(T46&gt;0,(T46*1.0575+PMT(0.0575,20,'Capital Projects and FR'!$D56,0)),0)</f>
        <v>0</v>
      </c>
      <c r="V46" s="4328">
        <f>IF(U46&gt;0,(U46*1.0575+PMT(0.0575,20,'Capital Projects and FR'!$D56,0)),0)</f>
        <v>0</v>
      </c>
      <c r="W46" s="4328">
        <f>IF(V46&gt;0,(V46*1.0575+PMT(0.0575,20,'Capital Projects and FR'!$D56,0)),0)</f>
        <v>0</v>
      </c>
      <c r="X46" s="4328">
        <f>IF(W46&gt;0,(W46*1.0575+PMT(0.0575,20,'Capital Projects and FR'!$D56,0)),0)</f>
        <v>0</v>
      </c>
      <c r="Y46" s="4328">
        <f>IF(X46&gt;0,(X46*1.0575+PMT(0.0575,20,'Capital Projects and FR'!$D56,0)),0)</f>
        <v>0</v>
      </c>
      <c r="Z46" s="4328">
        <f>IF(Y46&gt;0,(Y46*1.0575+PMT(0.0575,20,'Capital Projects and FR'!$D56,0)),0)</f>
        <v>0</v>
      </c>
      <c r="AA46" s="4328"/>
    </row>
    <row r="47" spans="1:27">
      <c r="B47" s="3265" t="str">
        <f>'Capital Projects and FR'!A57</f>
        <v>ITCCI Michigan City Addition and Renovation</v>
      </c>
      <c r="C47" s="4328"/>
      <c r="D47" s="4328"/>
      <c r="E47" s="4328"/>
      <c r="F47" s="4328"/>
      <c r="G47" s="4328">
        <f>IF('Capital Projects and FR'!$F57&gt;0,('Capital Projects and FR'!D57*1.0575+(PMT(0.0575,20,'Capital Projects and FR'!D57,0))),0)</f>
        <v>0</v>
      </c>
      <c r="H47" s="4328">
        <f>IF(G47&gt;0,(G47*1.0575+PMT(0.0575,20,'Capital Projects and FR'!$D57,0)),0)</f>
        <v>0</v>
      </c>
      <c r="I47" s="4328">
        <f>IF(H47&gt;0,(H47*1.0575+PMT(0.0575,20,'Capital Projects and FR'!$D57,0)),0)</f>
        <v>0</v>
      </c>
      <c r="J47" s="4328">
        <f>IF(I47&gt;0,(I47*1.0575+PMT(0.0575,20,'Capital Projects and FR'!$D57,0)),0)</f>
        <v>0</v>
      </c>
      <c r="K47" s="4328">
        <f>IF(J47&gt;0,(J47*1.0575+PMT(0.0575,20,'Capital Projects and FR'!$D57,0)),0)</f>
        <v>0</v>
      </c>
      <c r="L47" s="4328">
        <f>IF(K47&gt;0,(K47*1.0575+PMT(0.0575,20,'Capital Projects and FR'!$D57,0)),0)</f>
        <v>0</v>
      </c>
      <c r="M47" s="4328">
        <f>IF(L47&gt;0,(L47*1.0575+PMT(0.0575,20,'Capital Projects and FR'!$D57,0)),0)</f>
        <v>0</v>
      </c>
      <c r="N47" s="4328">
        <f>IF(M47&gt;0,(M47*1.0575+PMT(0.0575,20,'Capital Projects and FR'!$D57,0)),0)</f>
        <v>0</v>
      </c>
      <c r="O47" s="4328">
        <f>IF(N47&gt;0,(N47*1.0575+PMT(0.0575,20,'Capital Projects and FR'!$D57,0)),0)</f>
        <v>0</v>
      </c>
      <c r="P47" s="4328">
        <f>IF(O47&gt;0,(O47*1.0575+PMT(0.0575,20,'Capital Projects and FR'!$D57,0)),0)</f>
        <v>0</v>
      </c>
      <c r="Q47" s="4328">
        <f>IF(P47&gt;0,(P47*1.0575+PMT(0.0575,20,'Capital Projects and FR'!$D57,0)),0)</f>
        <v>0</v>
      </c>
      <c r="R47" s="4328">
        <f>IF(Q47&gt;0,(Q47*1.0575+PMT(0.0575,20,'Capital Projects and FR'!$D57,0)),0)</f>
        <v>0</v>
      </c>
      <c r="S47" s="4328">
        <f>IF(R47&gt;0,(R47*1.0575+PMT(0.0575,20,'Capital Projects and FR'!$D57,0)),0)</f>
        <v>0</v>
      </c>
      <c r="T47" s="4328">
        <f>IF(S47&gt;0,(S47*1.0575+PMT(0.0575,20,'Capital Projects and FR'!$D57,0)),0)</f>
        <v>0</v>
      </c>
      <c r="U47" s="4328">
        <f>IF(T47&gt;0,(T47*1.0575+PMT(0.0575,20,'Capital Projects and FR'!$D57,0)),0)</f>
        <v>0</v>
      </c>
      <c r="V47" s="4328">
        <f>IF(U47&gt;0,(U47*1.0575+PMT(0.0575,20,'Capital Projects and FR'!$D57,0)),0)</f>
        <v>0</v>
      </c>
      <c r="W47" s="4328">
        <f>IF(V47&gt;0,(V47*1.0575+PMT(0.0575,20,'Capital Projects and FR'!$D57,0)),0)</f>
        <v>0</v>
      </c>
      <c r="X47" s="4328">
        <f>IF(W47&gt;0,(W47*1.0575+PMT(0.0575,20,'Capital Projects and FR'!$D57,0)),0)</f>
        <v>0</v>
      </c>
      <c r="Y47" s="4328">
        <f>IF(X47&gt;0,(X47*1.0575+PMT(0.0575,20,'Capital Projects and FR'!$D57,0)),0)</f>
        <v>0</v>
      </c>
      <c r="Z47" s="4328">
        <f>IF(Y47&gt;0,(Y47*1.0575+PMT(0.0575,20,'Capital Projects and FR'!$D57,0)),0)</f>
        <v>0</v>
      </c>
      <c r="AA47" s="4328"/>
    </row>
    <row r="48" spans="1:27">
      <c r="B48" s="3265" t="str">
        <f>'Capital Projects and FR'!A58</f>
        <v>ITCCI Muncie New Construction and Renovation</v>
      </c>
      <c r="C48" s="4328"/>
      <c r="D48" s="4328"/>
      <c r="E48" s="4328"/>
      <c r="F48" s="4328"/>
      <c r="G48" s="4328">
        <f>IF('Capital Projects and FR'!$F58&gt;0,('Capital Projects and FR'!D58*1.0575+(PMT(0.0575,20,'Capital Projects and FR'!D58,0))),0)</f>
        <v>0</v>
      </c>
      <c r="H48" s="4328">
        <f>IF(G48&gt;0,(G48*1.0575+PMT(0.0575,20,'Capital Projects and FR'!$D58,0)),0)</f>
        <v>0</v>
      </c>
      <c r="I48" s="4328">
        <f>IF(H48&gt;0,(H48*1.0575+PMT(0.0575,20,'Capital Projects and FR'!$D58,0)),0)</f>
        <v>0</v>
      </c>
      <c r="J48" s="4328">
        <f>IF(I48&gt;0,(I48*1.0575+PMT(0.0575,20,'Capital Projects and FR'!$D58,0)),0)</f>
        <v>0</v>
      </c>
      <c r="K48" s="4328">
        <f>IF(J48&gt;0,(J48*1.0575+PMT(0.0575,20,'Capital Projects and FR'!$D58,0)),0)</f>
        <v>0</v>
      </c>
      <c r="L48" s="4328">
        <f>IF(K48&gt;0,(K48*1.0575+PMT(0.0575,20,'Capital Projects and FR'!$D58,0)),0)</f>
        <v>0</v>
      </c>
      <c r="M48" s="4328">
        <f>IF(L48&gt;0,(L48*1.0575+PMT(0.0575,20,'Capital Projects and FR'!$D58,0)),0)</f>
        <v>0</v>
      </c>
      <c r="N48" s="4328">
        <f>IF(M48&gt;0,(M48*1.0575+PMT(0.0575,20,'Capital Projects and FR'!$D58,0)),0)</f>
        <v>0</v>
      </c>
      <c r="O48" s="4328">
        <f>IF(N48&gt;0,(N48*1.0575+PMT(0.0575,20,'Capital Projects and FR'!$D58,0)),0)</f>
        <v>0</v>
      </c>
      <c r="P48" s="4328">
        <f>IF(O48&gt;0,(O48*1.0575+PMT(0.0575,20,'Capital Projects and FR'!$D58,0)),0)</f>
        <v>0</v>
      </c>
      <c r="Q48" s="4328">
        <f>IF(P48&gt;0,(P48*1.0575+PMT(0.0575,20,'Capital Projects and FR'!$D58,0)),0)</f>
        <v>0</v>
      </c>
      <c r="R48" s="4328">
        <f>IF(Q48&gt;0,(Q48*1.0575+PMT(0.0575,20,'Capital Projects and FR'!$D58,0)),0)</f>
        <v>0</v>
      </c>
      <c r="S48" s="4328">
        <f>IF(R48&gt;0,(R48*1.0575+PMT(0.0575,20,'Capital Projects and FR'!$D58,0)),0)</f>
        <v>0</v>
      </c>
      <c r="T48" s="4328">
        <f>IF(S48&gt;0,(S48*1.0575+PMT(0.0575,20,'Capital Projects and FR'!$D58,0)),0)</f>
        <v>0</v>
      </c>
      <c r="U48" s="4328">
        <f>IF(T48&gt;0,(T48*1.0575+PMT(0.0575,20,'Capital Projects and FR'!$D58,0)),0)</f>
        <v>0</v>
      </c>
      <c r="V48" s="4328">
        <f>IF(U48&gt;0,(U48*1.0575+PMT(0.0575,20,'Capital Projects and FR'!$D58,0)),0)</f>
        <v>0</v>
      </c>
      <c r="W48" s="4328">
        <f>IF(V48&gt;0,(V48*1.0575+PMT(0.0575,20,'Capital Projects and FR'!$D58,0)),0)</f>
        <v>0</v>
      </c>
      <c r="X48" s="4328">
        <f>IF(W48&gt;0,(W48*1.0575+PMT(0.0575,20,'Capital Projects and FR'!$D58,0)),0)</f>
        <v>0</v>
      </c>
      <c r="Y48" s="4328">
        <f>IF(X48&gt;0,(X48*1.0575+PMT(0.0575,20,'Capital Projects and FR'!$D58,0)),0)</f>
        <v>0</v>
      </c>
      <c r="Z48" s="4328">
        <f>IF(Y48&gt;0,(Y48*1.0575+PMT(0.0575,20,'Capital Projects and FR'!$D58,0)),0)</f>
        <v>0</v>
      </c>
      <c r="AA48" s="4328"/>
    </row>
    <row r="49" spans="1:27">
      <c r="B49" s="3265" t="str">
        <f>'Capital Projects and FR'!A59</f>
        <v>ITCCI Sellersburg Science and Health Services Center</v>
      </c>
      <c r="C49" s="4328"/>
      <c r="D49" s="4328"/>
      <c r="E49" s="4328"/>
      <c r="F49" s="4328"/>
      <c r="G49" s="4328">
        <f>IF('Capital Projects and FR'!$F59&gt;0,('Capital Projects and FR'!D59*1.0575+(PMT(0.0575,20,'Capital Projects and FR'!D59,0))),0)</f>
        <v>0</v>
      </c>
      <c r="H49" s="4328">
        <f>IF(G49&gt;0,(G49*1.0575+PMT(0.0575,20,'Capital Projects and FR'!$D59,0)),0)</f>
        <v>0</v>
      </c>
      <c r="I49" s="4328">
        <f>IF(H49&gt;0,(H49*1.0575+PMT(0.0575,20,'Capital Projects and FR'!$D59,0)),0)</f>
        <v>0</v>
      </c>
      <c r="J49" s="4328">
        <f>IF(I49&gt;0,(I49*1.0575+PMT(0.0575,20,'Capital Projects and FR'!$D59,0)),0)</f>
        <v>0</v>
      </c>
      <c r="K49" s="4328">
        <f>IF(J49&gt;0,(J49*1.0575+PMT(0.0575,20,'Capital Projects and FR'!$D59,0)),0)</f>
        <v>0</v>
      </c>
      <c r="L49" s="4328">
        <f>IF(K49&gt;0,(K49*1.0575+PMT(0.0575,20,'Capital Projects and FR'!$D59,0)),0)</f>
        <v>0</v>
      </c>
      <c r="M49" s="4328">
        <f>IF(L49&gt;0,(L49*1.0575+PMT(0.0575,20,'Capital Projects and FR'!$D59,0)),0)</f>
        <v>0</v>
      </c>
      <c r="N49" s="4328">
        <f>IF(M49&gt;0,(M49*1.0575+PMT(0.0575,20,'Capital Projects and FR'!$D59,0)),0)</f>
        <v>0</v>
      </c>
      <c r="O49" s="4328">
        <f>IF(N49&gt;0,(N49*1.0575+PMT(0.0575,20,'Capital Projects and FR'!$D59,0)),0)</f>
        <v>0</v>
      </c>
      <c r="P49" s="4328">
        <f>IF(O49&gt;0,(O49*1.0575+PMT(0.0575,20,'Capital Projects and FR'!$D59,0)),0)</f>
        <v>0</v>
      </c>
      <c r="Q49" s="4328">
        <f>IF(P49&gt;0,(P49*1.0575+PMT(0.0575,20,'Capital Projects and FR'!$D59,0)),0)</f>
        <v>0</v>
      </c>
      <c r="R49" s="4328">
        <f>IF(Q49&gt;0,(Q49*1.0575+PMT(0.0575,20,'Capital Projects and FR'!$D59,0)),0)</f>
        <v>0</v>
      </c>
      <c r="S49" s="4328">
        <f>IF(R49&gt;0,(R49*1.0575+PMT(0.0575,20,'Capital Projects and FR'!$D59,0)),0)</f>
        <v>0</v>
      </c>
      <c r="T49" s="4328">
        <f>IF(S49&gt;0,(S49*1.0575+PMT(0.0575,20,'Capital Projects and FR'!$D59,0)),0)</f>
        <v>0</v>
      </c>
      <c r="U49" s="4328">
        <f>IF(T49&gt;0,(T49*1.0575+PMT(0.0575,20,'Capital Projects and FR'!$D59,0)),0)</f>
        <v>0</v>
      </c>
      <c r="V49" s="4328">
        <f>IF(U49&gt;0,(U49*1.0575+PMT(0.0575,20,'Capital Projects and FR'!$D59,0)),0)</f>
        <v>0</v>
      </c>
      <c r="W49" s="4328">
        <f>IF(V49&gt;0,(V49*1.0575+PMT(0.0575,20,'Capital Projects and FR'!$D59,0)),0)</f>
        <v>0</v>
      </c>
      <c r="X49" s="4328">
        <f>IF(W49&gt;0,(W49*1.0575+PMT(0.0575,20,'Capital Projects and FR'!$D59,0)),0)</f>
        <v>0</v>
      </c>
      <c r="Y49" s="4328">
        <f>IF(X49&gt;0,(X49*1.0575+PMT(0.0575,20,'Capital Projects and FR'!$D59,0)),0)</f>
        <v>0</v>
      </c>
      <c r="Z49" s="4328">
        <f>IF(Y49&gt;0,(Y49*1.0575+PMT(0.0575,20,'Capital Projects and FR'!$D59,0)),0)</f>
        <v>0</v>
      </c>
      <c r="AA49" s="4328"/>
    </row>
    <row r="50" spans="1:27">
      <c r="B50" s="3265" t="str">
        <f>'Capital Projects and FR'!A60</f>
        <v>ITCCI South Bend Health Sciences Building</v>
      </c>
      <c r="C50" s="4328"/>
      <c r="D50" s="4328"/>
      <c r="E50" s="4328"/>
      <c r="F50" s="4328"/>
      <c r="G50" s="4328">
        <f>IF('Capital Projects and FR'!$F60&gt;0,('Capital Projects and FR'!D60*1.0575+(PMT(0.0575,20,'Capital Projects and FR'!D60,0))),0)</f>
        <v>0</v>
      </c>
      <c r="H50" s="4328">
        <f>IF(G50&gt;0,(G50*1.0575+PMT(0.0575,20,'Capital Projects and FR'!$D60,0)),0)</f>
        <v>0</v>
      </c>
      <c r="I50" s="4328">
        <f>IF(H50&gt;0,(H50*1.0575+PMT(0.0575,20,'Capital Projects and FR'!$D60,0)),0)</f>
        <v>0</v>
      </c>
      <c r="J50" s="4328">
        <f>IF(I50&gt;0,(I50*1.0575+PMT(0.0575,20,'Capital Projects and FR'!$D60,0)),0)</f>
        <v>0</v>
      </c>
      <c r="K50" s="4328">
        <f>IF(J50&gt;0,(J50*1.0575+PMT(0.0575,20,'Capital Projects and FR'!$D60,0)),0)</f>
        <v>0</v>
      </c>
      <c r="L50" s="4328">
        <f>IF(K50&gt;0,(K50*1.0575+PMT(0.0575,20,'Capital Projects and FR'!$D60,0)),0)</f>
        <v>0</v>
      </c>
      <c r="M50" s="4328">
        <f>IF(L50&gt;0,(L50*1.0575+PMT(0.0575,20,'Capital Projects and FR'!$D60,0)),0)</f>
        <v>0</v>
      </c>
      <c r="N50" s="4328">
        <f>IF(M50&gt;0,(M50*1.0575+PMT(0.0575,20,'Capital Projects and FR'!$D60,0)),0)</f>
        <v>0</v>
      </c>
      <c r="O50" s="4328">
        <f>IF(N50&gt;0,(N50*1.0575+PMT(0.0575,20,'Capital Projects and FR'!$D60,0)),0)</f>
        <v>0</v>
      </c>
      <c r="P50" s="4328">
        <f>IF(O50&gt;0,(O50*1.0575+PMT(0.0575,20,'Capital Projects and FR'!$D60,0)),0)</f>
        <v>0</v>
      </c>
      <c r="Q50" s="4328">
        <f>IF(P50&gt;0,(P50*1.0575+PMT(0.0575,20,'Capital Projects and FR'!$D60,0)),0)</f>
        <v>0</v>
      </c>
      <c r="R50" s="4328">
        <f>IF(Q50&gt;0,(Q50*1.0575+PMT(0.0575,20,'Capital Projects and FR'!$D60,0)),0)</f>
        <v>0</v>
      </c>
      <c r="S50" s="4328">
        <f>IF(R50&gt;0,(R50*1.0575+PMT(0.0575,20,'Capital Projects and FR'!$D60,0)),0)</f>
        <v>0</v>
      </c>
      <c r="T50" s="4328">
        <f>IF(S50&gt;0,(S50*1.0575+PMT(0.0575,20,'Capital Projects and FR'!$D60,0)),0)</f>
        <v>0</v>
      </c>
      <c r="U50" s="4328">
        <f>IF(T50&gt;0,(T50*1.0575+PMT(0.0575,20,'Capital Projects and FR'!$D60,0)),0)</f>
        <v>0</v>
      </c>
      <c r="V50" s="4328">
        <f>IF(U50&gt;0,(U50*1.0575+PMT(0.0575,20,'Capital Projects and FR'!$D60,0)),0)</f>
        <v>0</v>
      </c>
      <c r="W50" s="4328">
        <f>IF(V50&gt;0,(V50*1.0575+PMT(0.0575,20,'Capital Projects and FR'!$D60,0)),0)</f>
        <v>0</v>
      </c>
      <c r="X50" s="4328">
        <f>IF(W50&gt;0,(W50*1.0575+PMT(0.0575,20,'Capital Projects and FR'!$D60,0)),0)</f>
        <v>0</v>
      </c>
      <c r="Y50" s="4328">
        <f>IF(X50&gt;0,(X50*1.0575+PMT(0.0575,20,'Capital Projects and FR'!$D60,0)),0)</f>
        <v>0</v>
      </c>
      <c r="Z50" s="4328">
        <f>IF(Y50&gt;0,(Y50*1.0575+PMT(0.0575,20,'Capital Projects and FR'!$D60,0)),0)</f>
        <v>0</v>
      </c>
      <c r="AA50" s="4328"/>
    </row>
    <row r="51" spans="1:27" s="3261" customFormat="1">
      <c r="B51" s="3261" t="s">
        <v>615</v>
      </c>
      <c r="C51" s="4363">
        <f t="shared" ref="C51" si="5">SUM(C36:C50)</f>
        <v>293644000</v>
      </c>
      <c r="D51" s="4363">
        <f t="shared" ref="D51" si="6">SUM(D36:D50)</f>
        <v>285600000</v>
      </c>
      <c r="E51" s="4363">
        <f t="shared" ref="E51" si="7">SUM(E36:E50)</f>
        <v>266305000</v>
      </c>
      <c r="F51" s="4363">
        <f t="shared" ref="F51" si="8">SUM(F36:F50)</f>
        <v>309631180.27894908</v>
      </c>
      <c r="G51" s="4363">
        <f t="shared" ref="G51" si="9">SUM(G36:G50)</f>
        <v>289597950.17393774</v>
      </c>
      <c r="H51" s="4363">
        <f t="shared" ref="H51" si="10">SUM(H36:H50)</f>
        <v>269242584.33788824</v>
      </c>
      <c r="I51" s="4363">
        <f t="shared" ref="I51" si="11">SUM(I36:I50)</f>
        <v>247923922.46626592</v>
      </c>
      <c r="J51" s="4363">
        <f t="shared" ref="J51" si="12">SUM(J36:J50)</f>
        <v>225860450.03702524</v>
      </c>
      <c r="K51" s="4363">
        <f t="shared" ref="K51" si="13">SUM(K36:K50)</f>
        <v>205855277.94310325</v>
      </c>
      <c r="L51" s="4363">
        <f t="shared" ref="L51" si="14">SUM(L36:L50)</f>
        <v>184926120.95378077</v>
      </c>
      <c r="M51" s="4363">
        <f t="shared" ref="M51" si="15">SUM(M36:M50)</f>
        <v>164680274.93757221</v>
      </c>
      <c r="N51" s="4363">
        <f t="shared" ref="N51" si="16">SUM(N36:N50)</f>
        <v>147194592.77543172</v>
      </c>
      <c r="O51" s="4363">
        <f t="shared" ref="O51" si="17">SUM(O36:O50)</f>
        <v>129345458.88896811</v>
      </c>
      <c r="P51" s="4363">
        <f t="shared" ref="P51" si="18">SUM(P36:P50)</f>
        <v>110643762.30403283</v>
      </c>
      <c r="Q51" s="4363">
        <f t="shared" ref="Q51" si="19">SUM(Q36:Q50)</f>
        <v>91184868.16546379</v>
      </c>
      <c r="R51" s="4363">
        <f t="shared" ref="R51" si="20">SUM(R36:R50)</f>
        <v>70628587.613927037</v>
      </c>
      <c r="S51" s="4363">
        <f t="shared" ref="S51" si="21">SUM(S36:S50)</f>
        <v>49329145.930676907</v>
      </c>
      <c r="T51" s="4363">
        <f t="shared" ref="T51" si="22">SUM(T36:T50)</f>
        <v>35330148.850639902</v>
      </c>
      <c r="U51" s="4363">
        <f t="shared" ref="U51" si="23">SUM(U36:U50)</f>
        <v>24554546.938500762</v>
      </c>
      <c r="V51" s="4363">
        <f t="shared" ref="V51" si="24">SUM(V36:V50)</f>
        <v>16019597.916413626</v>
      </c>
      <c r="W51" s="4363">
        <f t="shared" ref="W51" si="25">SUM(W36:W50)</f>
        <v>10701826.825556478</v>
      </c>
      <c r="X51" s="4363">
        <f t="shared" ref="X51" si="26">SUM(X36:X50)</f>
        <v>5096983.8969750423</v>
      </c>
      <c r="Y51" s="4363">
        <f t="shared" ref="Y51" si="27">SUM(Y36:Y50)</f>
        <v>1.7462298274040222E-7</v>
      </c>
      <c r="Z51" s="4363">
        <f t="shared" ref="Z51" si="28">SUM(Z36:Z50)</f>
        <v>0</v>
      </c>
      <c r="AA51" s="4363">
        <f t="shared" ref="AA51" si="29">SUM(AA36:AA50)</f>
        <v>0</v>
      </c>
    </row>
    <row r="52" spans="1:27">
      <c r="A52" s="4367"/>
      <c r="B52" s="3386"/>
      <c r="C52" s="3386"/>
      <c r="D52" s="3386"/>
      <c r="E52" s="3386"/>
      <c r="F52" s="3386"/>
      <c r="G52" s="3386"/>
      <c r="H52" s="3386"/>
      <c r="I52" s="3386"/>
      <c r="J52" s="3386"/>
      <c r="K52" s="3386"/>
      <c r="L52" s="3386"/>
      <c r="M52" s="3386"/>
      <c r="N52" s="3386"/>
      <c r="O52" s="3386"/>
      <c r="P52" s="3386"/>
      <c r="Q52" s="3386"/>
      <c r="R52" s="3386"/>
      <c r="S52" s="3386"/>
      <c r="T52" s="3386"/>
      <c r="U52" s="3386"/>
      <c r="V52" s="3386"/>
      <c r="W52" s="3386"/>
      <c r="X52" s="3386"/>
      <c r="Y52" s="3386"/>
      <c r="Z52" s="4368"/>
      <c r="AA52" s="4368"/>
    </row>
    <row r="53" spans="1:27">
      <c r="A53" s="3261" t="s">
        <v>270</v>
      </c>
      <c r="Z53" s="4328"/>
      <c r="AA53" s="4328"/>
    </row>
    <row r="54" spans="1:27" s="4364" customFormat="1">
      <c r="B54" s="4364" t="s">
        <v>637</v>
      </c>
      <c r="C54" s="4365">
        <v>199625990</v>
      </c>
      <c r="D54" s="4365">
        <v>184474866</v>
      </c>
      <c r="E54" s="4365">
        <v>168542699</v>
      </c>
      <c r="F54" s="4365">
        <v>155534642</v>
      </c>
      <c r="G54" s="4365">
        <v>142414567</v>
      </c>
      <c r="H54" s="4365">
        <v>128668428</v>
      </c>
      <c r="I54" s="4365">
        <v>115922089</v>
      </c>
      <c r="J54" s="4365">
        <v>103377575</v>
      </c>
      <c r="K54" s="4365">
        <v>91023221</v>
      </c>
      <c r="L54" s="4365">
        <v>79144400</v>
      </c>
      <c r="M54" s="4365">
        <v>66728000</v>
      </c>
      <c r="N54" s="4365">
        <v>53656000</v>
      </c>
      <c r="O54" s="4365">
        <v>43063400</v>
      </c>
      <c r="P54" s="4365">
        <v>32880300</v>
      </c>
      <c r="Q54" s="4365">
        <v>22183400</v>
      </c>
      <c r="R54" s="4365">
        <v>11436100</v>
      </c>
      <c r="S54" s="4365">
        <v>3980000</v>
      </c>
      <c r="T54" s="4365">
        <v>0</v>
      </c>
      <c r="U54" s="4365">
        <v>0</v>
      </c>
      <c r="V54" s="4365">
        <v>0</v>
      </c>
      <c r="W54" s="4365">
        <v>0</v>
      </c>
      <c r="X54" s="4365">
        <v>0</v>
      </c>
      <c r="Y54" s="4365">
        <v>0</v>
      </c>
      <c r="Z54" s="4365">
        <v>0</v>
      </c>
      <c r="AA54" s="4365">
        <v>0</v>
      </c>
    </row>
    <row r="55" spans="1:27">
      <c r="B55" s="3265" t="str">
        <f>'Capital Projects and FR'!A40</f>
        <v>PUWL Animal Disease Diagnostic Laboratory (BSL-3)</v>
      </c>
      <c r="C55" s="4328"/>
      <c r="D55" s="4328"/>
      <c r="E55" s="4328"/>
      <c r="F55" s="4328">
        <f>IF('Capital Projects and FR'!$F40&gt;0,('Capital Projects and FR'!D40*1.0575+(PMT(0.0575,20,'Capital Projects and FR'!D40,0))),0)</f>
        <v>0</v>
      </c>
      <c r="G55" s="4328">
        <f>IF(F55&gt;0,(F55*1.0575+PMT(0.0575,20,'Capital Projects and FR'!$D40,0)),0)</f>
        <v>0</v>
      </c>
      <c r="H55" s="4328">
        <f>IF(G55&gt;0,(G55*1.0575+PMT(0.0575,20,'Capital Projects and FR'!$D40,0)),0)</f>
        <v>0</v>
      </c>
      <c r="I55" s="4328">
        <f>IF(H55&gt;0,(H55*1.0575+PMT(0.0575,20,'Capital Projects and FR'!$D40,0)),0)</f>
        <v>0</v>
      </c>
      <c r="J55" s="4328">
        <f>IF(I55&gt;0,(I55*1.0575+PMT(0.0575,20,'Capital Projects and FR'!$D40,0)),0)</f>
        <v>0</v>
      </c>
      <c r="K55" s="4328">
        <f>IF(J55&gt;0,(J55*1.0575+PMT(0.0575,20,'Capital Projects and FR'!$D40,0)),0)</f>
        <v>0</v>
      </c>
      <c r="L55" s="4328">
        <f>IF(K55&gt;0,(K55*1.0575+PMT(0.0575,20,'Capital Projects and FR'!$D40,0)),0)</f>
        <v>0</v>
      </c>
      <c r="M55" s="4328">
        <f>IF(L55&gt;0,(L55*1.0575+PMT(0.0575,20,'Capital Projects and FR'!$D40,0)),0)</f>
        <v>0</v>
      </c>
      <c r="N55" s="4328">
        <f>IF(M55&gt;0,(M55*1.0575+PMT(0.0575,20,'Capital Projects and FR'!$D40,0)),0)</f>
        <v>0</v>
      </c>
      <c r="O55" s="4328">
        <f>IF(N55&gt;0,(N55*1.0575+PMT(0.0575,20,'Capital Projects and FR'!$D40,0)),0)</f>
        <v>0</v>
      </c>
      <c r="P55" s="4328">
        <f>IF(O55&gt;0,(O55*1.0575+PMT(0.0575,20,'Capital Projects and FR'!$D40,0)),0)</f>
        <v>0</v>
      </c>
      <c r="Q55" s="4328">
        <f>IF(P55&gt;0,(P55*1.0575+PMT(0.0575,20,'Capital Projects and FR'!$D40,0)),0)</f>
        <v>0</v>
      </c>
      <c r="R55" s="4328">
        <f>IF(Q55&gt;0,(Q55*1.0575+PMT(0.0575,20,'Capital Projects and FR'!$D40,0)),0)</f>
        <v>0</v>
      </c>
      <c r="S55" s="4328">
        <f>IF(R55&gt;0,(R55*1.0575+PMT(0.0575,20,'Capital Projects and FR'!$D40,0)),0)</f>
        <v>0</v>
      </c>
      <c r="T55" s="4328">
        <f>IF(S55&gt;0,(S55*1.0575+PMT(0.0575,20,'Capital Projects and FR'!$D40,0)),0)</f>
        <v>0</v>
      </c>
      <c r="U55" s="4328">
        <f>IF(T55&gt;0,(T55*1.0575+PMT(0.0575,20,'Capital Projects and FR'!$D40,0)),0)</f>
        <v>0</v>
      </c>
      <c r="V55" s="4328">
        <f>IF(U55&gt;0,(U55*1.0575+PMT(0.0575,20,'Capital Projects and FR'!$D40,0)),0)</f>
        <v>0</v>
      </c>
      <c r="W55" s="4328">
        <f>IF(V55&gt;0,(V55*1.0575+PMT(0.0575,20,'Capital Projects and FR'!$D40,0)),0)</f>
        <v>0</v>
      </c>
      <c r="X55" s="4328">
        <f>IF(W55&gt;0,(W55*1.0575+PMT(0.0575,20,'Capital Projects and FR'!$D40,0)),0)</f>
        <v>0</v>
      </c>
      <c r="Y55" s="4328">
        <f>IF(X55&gt;0,(X55*1.0575+PMT(0.0575,20,'Capital Projects and FR'!$D40,0)),0)</f>
        <v>0</v>
      </c>
      <c r="Z55" s="4328">
        <f>IF(Y55&gt;0,(Y55*1.0575+PMT(0.0575,20,'Capital Projects and FR'!$D40,0)),0)</f>
        <v>0</v>
      </c>
      <c r="AA55" s="4328">
        <f>IF(Z55&gt;0,(Z55*1.0575+PMT(0.0575,20,'Capital Projects and FR'!$D40,0)),0)</f>
        <v>0</v>
      </c>
    </row>
    <row r="56" spans="1:27">
      <c r="B56" s="3265" t="str">
        <f>'Capital Projects and FR'!A75</f>
        <v>PUWL Active Learning Center</v>
      </c>
      <c r="C56" s="4328"/>
      <c r="D56" s="4328"/>
      <c r="E56" s="4328"/>
      <c r="F56" s="4328"/>
      <c r="G56" s="4328">
        <f>IF('Capital Projects and FR'!$F75&gt;0,('Capital Projects and FR'!D75*1.0575+(PMT(0.0575,20,'Capital Projects and FR'!D75,0))),0)</f>
        <v>0</v>
      </c>
      <c r="H56" s="4328">
        <f>IF(G56&gt;0,(G56*1.0575+PMT(0.0575,20,'Capital Projects and FR'!$D75,0)),0)</f>
        <v>0</v>
      </c>
      <c r="I56" s="4328">
        <f>IF(H56&gt;0,(H56*1.0575+PMT(0.0575,20,'Capital Projects and FR'!$D75,0)),0)</f>
        <v>0</v>
      </c>
      <c r="J56" s="4328">
        <f>IF(I56&gt;0,(I56*1.0575+PMT(0.0575,20,'Capital Projects and FR'!$D75,0)),0)</f>
        <v>0</v>
      </c>
      <c r="K56" s="4328">
        <f>IF(J56&gt;0,(J56*1.0575+PMT(0.0575,20,'Capital Projects and FR'!$D75,0)),0)</f>
        <v>0</v>
      </c>
      <c r="L56" s="4328">
        <f>IF(K56&gt;0,(K56*1.0575+PMT(0.0575,20,'Capital Projects and FR'!$D75,0)),0)</f>
        <v>0</v>
      </c>
      <c r="M56" s="4328">
        <f>IF(L56&gt;0,(L56*1.0575+PMT(0.0575,20,'Capital Projects and FR'!$D75,0)),0)</f>
        <v>0</v>
      </c>
      <c r="N56" s="4328">
        <f>IF(M56&gt;0,(M56*1.0575+PMT(0.0575,20,'Capital Projects and FR'!$D75,0)),0)</f>
        <v>0</v>
      </c>
      <c r="O56" s="4328">
        <f>IF(N56&gt;0,(N56*1.0575+PMT(0.0575,20,'Capital Projects and FR'!$D75,0)),0)</f>
        <v>0</v>
      </c>
      <c r="P56" s="4328">
        <f>IF(O56&gt;0,(O56*1.0575+PMT(0.0575,20,'Capital Projects and FR'!$D75,0)),0)</f>
        <v>0</v>
      </c>
      <c r="Q56" s="4328">
        <f>IF(P56&gt;0,(P56*1.0575+PMT(0.0575,20,'Capital Projects and FR'!$D75,0)),0)</f>
        <v>0</v>
      </c>
      <c r="R56" s="4328">
        <f>IF(Q56&gt;0,(Q56*1.0575+PMT(0.0575,20,'Capital Projects and FR'!$D75,0)),0)</f>
        <v>0</v>
      </c>
      <c r="S56" s="4328">
        <f>IF(R56&gt;0,(R56*1.0575+PMT(0.0575,20,'Capital Projects and FR'!$D75,0)),0)</f>
        <v>0</v>
      </c>
      <c r="T56" s="4328">
        <f>IF(S56&gt;0,(S56*1.0575+PMT(0.0575,20,'Capital Projects and FR'!$D75,0)),0)</f>
        <v>0</v>
      </c>
      <c r="U56" s="4328">
        <f>IF(T56&gt;0,(T56*1.0575+PMT(0.0575,20,'Capital Projects and FR'!$D75,0)),0)</f>
        <v>0</v>
      </c>
      <c r="V56" s="4328">
        <f>IF(U56&gt;0,(U56*1.0575+PMT(0.0575,20,'Capital Projects and FR'!$D75,0)),0)</f>
        <v>0</v>
      </c>
      <c r="W56" s="4328">
        <f>IF(V56&gt;0,(V56*1.0575+PMT(0.0575,20,'Capital Projects and FR'!$D75,0)),0)</f>
        <v>0</v>
      </c>
      <c r="X56" s="4328">
        <f>IF(W56&gt;0,(W56*1.0575+PMT(0.0575,20,'Capital Projects and FR'!$D75,0)),0)</f>
        <v>0</v>
      </c>
      <c r="Y56" s="4328">
        <f>IF(X56&gt;0,(X56*1.0575+PMT(0.0575,20,'Capital Projects and FR'!$D75,0)),0)</f>
        <v>0</v>
      </c>
      <c r="Z56" s="4328">
        <f>IF(Y56&gt;0,(Y56*1.0575+PMT(0.0575,20,'Capital Projects and FR'!$D75,0)),0)</f>
        <v>0</v>
      </c>
      <c r="AA56" s="4328">
        <v>0</v>
      </c>
    </row>
    <row r="57" spans="1:27" s="3261" customFormat="1">
      <c r="B57" s="3261" t="s">
        <v>615</v>
      </c>
      <c r="C57" s="4363">
        <f t="shared" ref="C57:AA57" si="30">SUM(C54:C56)</f>
        <v>199625990</v>
      </c>
      <c r="D57" s="4363">
        <f t="shared" si="30"/>
        <v>184474866</v>
      </c>
      <c r="E57" s="4363">
        <f t="shared" si="30"/>
        <v>168542699</v>
      </c>
      <c r="F57" s="4363">
        <f t="shared" si="30"/>
        <v>155534642</v>
      </c>
      <c r="G57" s="4363">
        <f t="shared" si="30"/>
        <v>142414567</v>
      </c>
      <c r="H57" s="4363">
        <f t="shared" si="30"/>
        <v>128668428</v>
      </c>
      <c r="I57" s="4363">
        <f t="shared" si="30"/>
        <v>115922089</v>
      </c>
      <c r="J57" s="4363">
        <f t="shared" si="30"/>
        <v>103377575</v>
      </c>
      <c r="K57" s="4363">
        <f t="shared" si="30"/>
        <v>91023221</v>
      </c>
      <c r="L57" s="4363">
        <f t="shared" si="30"/>
        <v>79144400</v>
      </c>
      <c r="M57" s="4363">
        <f t="shared" si="30"/>
        <v>66728000</v>
      </c>
      <c r="N57" s="4363">
        <f t="shared" si="30"/>
        <v>53656000</v>
      </c>
      <c r="O57" s="4363">
        <f t="shared" si="30"/>
        <v>43063400</v>
      </c>
      <c r="P57" s="4363">
        <f t="shared" si="30"/>
        <v>32880300</v>
      </c>
      <c r="Q57" s="4363">
        <f t="shared" si="30"/>
        <v>22183400</v>
      </c>
      <c r="R57" s="4363">
        <f t="shared" si="30"/>
        <v>11436100</v>
      </c>
      <c r="S57" s="4363">
        <f t="shared" si="30"/>
        <v>3980000</v>
      </c>
      <c r="T57" s="4363">
        <f t="shared" si="30"/>
        <v>0</v>
      </c>
      <c r="U57" s="4363">
        <f t="shared" si="30"/>
        <v>0</v>
      </c>
      <c r="V57" s="4363">
        <f t="shared" si="30"/>
        <v>0</v>
      </c>
      <c r="W57" s="4363">
        <f t="shared" si="30"/>
        <v>0</v>
      </c>
      <c r="X57" s="4363">
        <f t="shared" si="30"/>
        <v>0</v>
      </c>
      <c r="Y57" s="4363">
        <f t="shared" si="30"/>
        <v>0</v>
      </c>
      <c r="Z57" s="4363">
        <f t="shared" si="30"/>
        <v>0</v>
      </c>
      <c r="AA57" s="4363">
        <f t="shared" si="30"/>
        <v>0</v>
      </c>
    </row>
    <row r="58" spans="1:27">
      <c r="A58" s="4367"/>
      <c r="B58" s="3386"/>
      <c r="C58" s="3386"/>
      <c r="D58" s="3386"/>
      <c r="E58" s="3386"/>
      <c r="F58" s="3386"/>
      <c r="G58" s="3386"/>
      <c r="H58" s="3386"/>
      <c r="I58" s="3386"/>
      <c r="J58" s="3386"/>
      <c r="K58" s="3386"/>
      <c r="L58" s="3386"/>
      <c r="M58" s="3386"/>
      <c r="N58" s="3386"/>
      <c r="O58" s="3386"/>
      <c r="P58" s="3386"/>
      <c r="Q58" s="3386"/>
      <c r="R58" s="3386"/>
      <c r="S58" s="3386"/>
      <c r="T58" s="3386"/>
      <c r="U58" s="3386"/>
      <c r="V58" s="3386"/>
      <c r="W58" s="3386"/>
      <c r="X58" s="3386"/>
      <c r="Y58" s="3386"/>
      <c r="Z58" s="4368"/>
      <c r="AA58" s="4368"/>
    </row>
    <row r="59" spans="1:27">
      <c r="A59" s="3261" t="s">
        <v>271</v>
      </c>
      <c r="Z59" s="4328"/>
      <c r="AA59" s="4328"/>
    </row>
    <row r="60" spans="1:27" s="4364" customFormat="1">
      <c r="B60" s="4364" t="s">
        <v>637</v>
      </c>
      <c r="C60" s="4365">
        <v>6923905</v>
      </c>
      <c r="D60" s="4365">
        <v>5806226</v>
      </c>
      <c r="E60" s="4365">
        <v>4630495</v>
      </c>
      <c r="F60" s="4365">
        <v>3397964</v>
      </c>
      <c r="G60" s="4365">
        <v>2096574</v>
      </c>
      <c r="H60" s="4365">
        <v>727836</v>
      </c>
      <c r="I60" s="4365">
        <v>190920</v>
      </c>
      <c r="J60" s="4365">
        <v>71724</v>
      </c>
      <c r="K60" s="4365">
        <v>0</v>
      </c>
      <c r="L60" s="4365">
        <v>0</v>
      </c>
      <c r="M60" s="4365">
        <v>0</v>
      </c>
      <c r="N60" s="4365">
        <v>0</v>
      </c>
      <c r="O60" s="4365">
        <v>0</v>
      </c>
      <c r="P60" s="4365">
        <v>0</v>
      </c>
      <c r="Q60" s="4365">
        <v>0</v>
      </c>
      <c r="R60" s="4365">
        <v>0</v>
      </c>
      <c r="S60" s="4365">
        <v>0</v>
      </c>
      <c r="T60" s="4365">
        <v>0</v>
      </c>
      <c r="U60" s="4365">
        <v>0</v>
      </c>
      <c r="V60" s="4365">
        <v>0</v>
      </c>
      <c r="W60" s="4365">
        <v>0</v>
      </c>
      <c r="X60" s="4365">
        <v>0</v>
      </c>
      <c r="Y60" s="4365">
        <v>0</v>
      </c>
      <c r="Z60" s="4365">
        <v>0</v>
      </c>
      <c r="AA60" s="4365">
        <v>0</v>
      </c>
    </row>
    <row r="61" spans="1:27">
      <c r="B61" s="3265" t="str">
        <f>'Capital Projects and FR'!A37</f>
        <v>PUC Emerging Technologies Building (aka Gyte A&amp;E)</v>
      </c>
      <c r="C61" s="4328"/>
      <c r="D61" s="4328"/>
      <c r="E61" s="4328"/>
      <c r="F61" s="4328">
        <f>IF('Capital Projects and FR'!$F37&gt;0,('Capital Projects and FR'!D37*1.0575+(PMT(0.0575,20,'Capital Projects and FR'!D37,0))),0)</f>
        <v>0</v>
      </c>
      <c r="G61" s="4328">
        <f>IF(F61&gt;0,(F61*1.0575+PMT(0.0575,20,'Capital Projects and FR'!$D37,0)),0)</f>
        <v>0</v>
      </c>
      <c r="H61" s="4328">
        <f>IF(G61&gt;0,(G61*1.0575+PMT(0.0575,20,'Capital Projects and FR'!$D37,0)),0)</f>
        <v>0</v>
      </c>
      <c r="I61" s="4328">
        <f>IF(H61&gt;0,(H61*1.0575+PMT(0.0575,20,'Capital Projects and FR'!$D37,0)),0)</f>
        <v>0</v>
      </c>
      <c r="J61" s="4328">
        <f>IF(I61&gt;0,(I61*1.0575+PMT(0.0575,20,'Capital Projects and FR'!$D37,0)),0)</f>
        <v>0</v>
      </c>
      <c r="K61" s="4328">
        <f>IF(J61&gt;0,(J61*1.0575+PMT(0.0575,20,'Capital Projects and FR'!$D37,0)),0)</f>
        <v>0</v>
      </c>
      <c r="L61" s="4328">
        <f>IF(K61&gt;0,(K61*1.0575+PMT(0.0575,20,'Capital Projects and FR'!$D37,0)),0)</f>
        <v>0</v>
      </c>
      <c r="M61" s="4328">
        <f>IF(L61&gt;0,(L61*1.0575+PMT(0.0575,20,'Capital Projects and FR'!$D37,0)),0)</f>
        <v>0</v>
      </c>
      <c r="N61" s="4328">
        <f>IF(M61&gt;0,(M61*1.0575+PMT(0.0575,20,'Capital Projects and FR'!$D37,0)),0)</f>
        <v>0</v>
      </c>
      <c r="O61" s="4328">
        <f>IF(N61&gt;0,(N61*1.0575+PMT(0.0575,20,'Capital Projects and FR'!$D37,0)),0)</f>
        <v>0</v>
      </c>
      <c r="P61" s="4328">
        <f>IF(O61&gt;0,(O61*1.0575+PMT(0.0575,20,'Capital Projects and FR'!$D37,0)),0)</f>
        <v>0</v>
      </c>
      <c r="Q61" s="4328">
        <f>IF(P61&gt;0,(P61*1.0575+PMT(0.0575,20,'Capital Projects and FR'!$D37,0)),0)</f>
        <v>0</v>
      </c>
      <c r="R61" s="4328">
        <f>IF(Q61&gt;0,(Q61*1.0575+PMT(0.0575,20,'Capital Projects and FR'!$D37,0)),0)</f>
        <v>0</v>
      </c>
      <c r="S61" s="4328">
        <f>IF(R61&gt;0,(R61*1.0575+PMT(0.0575,20,'Capital Projects and FR'!$D37,0)),0)</f>
        <v>0</v>
      </c>
      <c r="T61" s="4328">
        <f>IF(S61&gt;0,(S61*1.0575+PMT(0.0575,20,'Capital Projects and FR'!$D37,0)),0)</f>
        <v>0</v>
      </c>
      <c r="U61" s="4328">
        <f>IF(T61&gt;0,(T61*1.0575+PMT(0.0575,20,'Capital Projects and FR'!$D37,0)),0)</f>
        <v>0</v>
      </c>
      <c r="V61" s="4328">
        <f>IF(U61&gt;0,(U61*1.0575+PMT(0.0575,20,'Capital Projects and FR'!$D37,0)),0)</f>
        <v>0</v>
      </c>
      <c r="W61" s="4328">
        <f>IF(V61&gt;0,(V61*1.0575+PMT(0.0575,20,'Capital Projects and FR'!$D37,0)),0)</f>
        <v>0</v>
      </c>
      <c r="X61" s="4328">
        <f>IF(W61&gt;0,(W61*1.0575+PMT(0.0575,20,'Capital Projects and FR'!$D37,0)),0)</f>
        <v>0</v>
      </c>
      <c r="Y61" s="4328">
        <f>IF(X61&gt;0,(X61*1.0575+PMT(0.0575,20,'Capital Projects and FR'!$D37,0)),0)</f>
        <v>0</v>
      </c>
      <c r="Z61" s="4328">
        <f>IF(Y61&gt;0,(Y61*1.0575+PMT(0.0575,20,'Capital Projects and FR'!$D37,0)),0)</f>
        <v>0</v>
      </c>
      <c r="AA61" s="4328">
        <f>IF(Z61&gt;0,(Z61*1.0575+PMT(0.0575,20,'Capital Projects and FR'!$D37,0)),0)</f>
        <v>0</v>
      </c>
    </row>
    <row r="62" spans="1:27">
      <c r="B62" s="3265" t="str">
        <f>'Capital Projects and FR'!A74</f>
        <v>PUC Emerging Technologies Building</v>
      </c>
      <c r="C62" s="4328"/>
      <c r="D62" s="4328"/>
      <c r="E62" s="4328"/>
      <c r="F62" s="4328"/>
      <c r="G62" s="4328">
        <f>IF('Capital Projects and FR'!$F74&gt;0,('Capital Projects and FR'!D74*1.0575+(PMT(0.0575,20,'Capital Projects and FR'!D74,0))),0)</f>
        <v>0</v>
      </c>
      <c r="H62" s="4328">
        <f>IF(G62&gt;0,(G62*1.0575+PMT(0.0575,20,'Capital Projects and FR'!$D74,0)),0)</f>
        <v>0</v>
      </c>
      <c r="I62" s="4328">
        <f>IF(H62&gt;0,(H62*1.0575+PMT(0.0575,20,'Capital Projects and FR'!$D74,0)),0)</f>
        <v>0</v>
      </c>
      <c r="J62" s="4328">
        <f>IF(I62&gt;0,(I62*1.0575+PMT(0.0575,20,'Capital Projects and FR'!$D74,0)),0)</f>
        <v>0</v>
      </c>
      <c r="K62" s="4328">
        <f>IF(J62&gt;0,(J62*1.0575+PMT(0.0575,20,'Capital Projects and FR'!$D74,0)),0)</f>
        <v>0</v>
      </c>
      <c r="L62" s="4328">
        <f>IF(K62&gt;0,(K62*1.0575+PMT(0.0575,20,'Capital Projects and FR'!$D74,0)),0)</f>
        <v>0</v>
      </c>
      <c r="M62" s="4328">
        <f>IF(L62&gt;0,(L62*1.0575+PMT(0.0575,20,'Capital Projects and FR'!$D74,0)),0)</f>
        <v>0</v>
      </c>
      <c r="N62" s="4328">
        <f>IF(M62&gt;0,(M62*1.0575+PMT(0.0575,20,'Capital Projects and FR'!$D74,0)),0)</f>
        <v>0</v>
      </c>
      <c r="O62" s="4328">
        <f>IF(N62&gt;0,(N62*1.0575+PMT(0.0575,20,'Capital Projects and FR'!$D74,0)),0)</f>
        <v>0</v>
      </c>
      <c r="P62" s="4328">
        <f>IF(O62&gt;0,(O62*1.0575+PMT(0.0575,20,'Capital Projects and FR'!$D74,0)),0)</f>
        <v>0</v>
      </c>
      <c r="Q62" s="4328">
        <f>IF(P62&gt;0,(P62*1.0575+PMT(0.0575,20,'Capital Projects and FR'!$D74,0)),0)</f>
        <v>0</v>
      </c>
      <c r="R62" s="4328">
        <f>IF(Q62&gt;0,(Q62*1.0575+PMT(0.0575,20,'Capital Projects and FR'!$D74,0)),0)</f>
        <v>0</v>
      </c>
      <c r="S62" s="4328">
        <f>IF(R62&gt;0,(R62*1.0575+PMT(0.0575,20,'Capital Projects and FR'!$D74,0)),0)</f>
        <v>0</v>
      </c>
      <c r="T62" s="4328">
        <f>IF(S62&gt;0,(S62*1.0575+PMT(0.0575,20,'Capital Projects and FR'!$D74,0)),0)</f>
        <v>0</v>
      </c>
      <c r="U62" s="4328">
        <f>IF(T62&gt;0,(T62*1.0575+PMT(0.0575,20,'Capital Projects and FR'!$D74,0)),0)</f>
        <v>0</v>
      </c>
      <c r="V62" s="4328">
        <f>IF(U62&gt;0,(U62*1.0575+PMT(0.0575,20,'Capital Projects and FR'!$D74,0)),0)</f>
        <v>0</v>
      </c>
      <c r="W62" s="4328">
        <f>IF(V62&gt;0,(V62*1.0575+PMT(0.0575,20,'Capital Projects and FR'!$D74,0)),0)</f>
        <v>0</v>
      </c>
      <c r="X62" s="4328">
        <f>IF(W62&gt;0,(W62*1.0575+PMT(0.0575,20,'Capital Projects and FR'!$D74,0)),0)</f>
        <v>0</v>
      </c>
      <c r="Y62" s="4328">
        <f>IF(X62&gt;0,(X62*1.0575+PMT(0.0575,20,'Capital Projects and FR'!$D74,0)),0)</f>
        <v>0</v>
      </c>
      <c r="Z62" s="4328">
        <f>IF(Y62&gt;0,(Y62*1.0575+PMT(0.0575,20,'Capital Projects and FR'!$D74,0)),0)</f>
        <v>0</v>
      </c>
      <c r="AA62" s="4328">
        <f>IF(Z62&gt;0,(Z62*1.0575+PMT(0.0575,20,'Capital Projects and FR'!$D74,0)),0)</f>
        <v>0</v>
      </c>
    </row>
    <row r="63" spans="1:27" s="3261" customFormat="1">
      <c r="B63" s="3261" t="s">
        <v>615</v>
      </c>
      <c r="C63" s="4363">
        <f t="shared" ref="C63:AA63" si="31">SUM(C60:C62)</f>
        <v>6923905</v>
      </c>
      <c r="D63" s="4363">
        <f t="shared" si="31"/>
        <v>5806226</v>
      </c>
      <c r="E63" s="4363">
        <f t="shared" si="31"/>
        <v>4630495</v>
      </c>
      <c r="F63" s="4363">
        <f t="shared" si="31"/>
        <v>3397964</v>
      </c>
      <c r="G63" s="4363">
        <f t="shared" si="31"/>
        <v>2096574</v>
      </c>
      <c r="H63" s="4363">
        <f t="shared" si="31"/>
        <v>727836</v>
      </c>
      <c r="I63" s="4363">
        <f t="shared" si="31"/>
        <v>190920</v>
      </c>
      <c r="J63" s="4363">
        <f t="shared" si="31"/>
        <v>71724</v>
      </c>
      <c r="K63" s="4363">
        <f t="shared" si="31"/>
        <v>0</v>
      </c>
      <c r="L63" s="4363">
        <f t="shared" si="31"/>
        <v>0</v>
      </c>
      <c r="M63" s="4363">
        <f t="shared" si="31"/>
        <v>0</v>
      </c>
      <c r="N63" s="4363">
        <f t="shared" si="31"/>
        <v>0</v>
      </c>
      <c r="O63" s="4363">
        <f t="shared" si="31"/>
        <v>0</v>
      </c>
      <c r="P63" s="4363">
        <f t="shared" si="31"/>
        <v>0</v>
      </c>
      <c r="Q63" s="4363">
        <f t="shared" si="31"/>
        <v>0</v>
      </c>
      <c r="R63" s="4363">
        <f t="shared" si="31"/>
        <v>0</v>
      </c>
      <c r="S63" s="4363">
        <f t="shared" si="31"/>
        <v>0</v>
      </c>
      <c r="T63" s="4363">
        <f t="shared" si="31"/>
        <v>0</v>
      </c>
      <c r="U63" s="4363">
        <f t="shared" si="31"/>
        <v>0</v>
      </c>
      <c r="V63" s="4363">
        <f t="shared" si="31"/>
        <v>0</v>
      </c>
      <c r="W63" s="4363">
        <f t="shared" si="31"/>
        <v>0</v>
      </c>
      <c r="X63" s="4363">
        <f t="shared" si="31"/>
        <v>0</v>
      </c>
      <c r="Y63" s="4363">
        <f t="shared" si="31"/>
        <v>0</v>
      </c>
      <c r="Z63" s="4363">
        <f t="shared" si="31"/>
        <v>0</v>
      </c>
      <c r="AA63" s="4363">
        <f t="shared" si="31"/>
        <v>0</v>
      </c>
    </row>
    <row r="64" spans="1:27">
      <c r="A64" s="4367"/>
      <c r="B64" s="3386"/>
      <c r="C64" s="3386"/>
      <c r="D64" s="3386"/>
      <c r="E64" s="3386"/>
      <c r="F64" s="3386"/>
      <c r="G64" s="3386"/>
      <c r="H64" s="3386"/>
      <c r="I64" s="3386"/>
      <c r="J64" s="3386"/>
      <c r="K64" s="3386"/>
      <c r="L64" s="3386"/>
      <c r="M64" s="3386"/>
      <c r="N64" s="3386"/>
      <c r="O64" s="3386"/>
      <c r="P64" s="3386"/>
      <c r="Q64" s="3386"/>
      <c r="R64" s="3386"/>
      <c r="S64" s="3386"/>
      <c r="T64" s="3386"/>
      <c r="U64" s="3386"/>
      <c r="V64" s="3386"/>
      <c r="W64" s="3386"/>
      <c r="X64" s="3386"/>
      <c r="Y64" s="3386"/>
      <c r="Z64" s="4368"/>
      <c r="AA64" s="4368"/>
    </row>
    <row r="65" spans="1:27">
      <c r="A65" s="3261" t="s">
        <v>272</v>
      </c>
      <c r="Z65" s="4328"/>
      <c r="AA65" s="4328"/>
    </row>
    <row r="66" spans="1:27" s="4364" customFormat="1">
      <c r="B66" s="4364" t="s">
        <v>637</v>
      </c>
      <c r="C66" s="4365">
        <v>5404313</v>
      </c>
      <c r="D66" s="4365">
        <v>5372325</v>
      </c>
      <c r="E66" s="4365">
        <v>5420037</v>
      </c>
      <c r="F66" s="4365">
        <v>5310403</v>
      </c>
      <c r="G66" s="4365">
        <v>5312223</v>
      </c>
      <c r="H66" s="4365">
        <v>5310600</v>
      </c>
      <c r="I66" s="4365">
        <v>4252847</v>
      </c>
      <c r="J66" s="4365">
        <v>3732088</v>
      </c>
      <c r="K66" s="4365">
        <v>3535799</v>
      </c>
      <c r="L66" s="4365">
        <v>3261406</v>
      </c>
      <c r="M66" s="4365">
        <v>3261116</v>
      </c>
      <c r="N66" s="4365">
        <v>3265311</v>
      </c>
      <c r="O66" s="4365">
        <v>3268374</v>
      </c>
      <c r="P66" s="4365">
        <v>3270141</v>
      </c>
      <c r="Q66" s="4365">
        <v>3271959</v>
      </c>
      <c r="R66" s="4365">
        <v>3270179</v>
      </c>
      <c r="S66" s="4365">
        <v>3267831</v>
      </c>
      <c r="T66" s="4365">
        <v>1821750</v>
      </c>
      <c r="U66" s="4365">
        <v>0</v>
      </c>
      <c r="V66" s="4365">
        <v>0</v>
      </c>
      <c r="W66" s="4365">
        <v>0</v>
      </c>
      <c r="X66" s="4365">
        <v>0</v>
      </c>
      <c r="Y66" s="4365">
        <v>0</v>
      </c>
      <c r="Z66" s="4365">
        <v>0</v>
      </c>
      <c r="AA66" s="4365">
        <v>0</v>
      </c>
    </row>
    <row r="67" spans="1:27">
      <c r="B67" s="3265" t="str">
        <f>'Capital Projects and FR'!A48</f>
        <v>IPFW South Campus Renovations</v>
      </c>
      <c r="C67" s="4328"/>
      <c r="D67" s="4328"/>
      <c r="E67" s="4328"/>
      <c r="F67" s="4328"/>
      <c r="G67" s="4328">
        <f>IF('Capital Projects and FR'!$F48&gt;0,('Capital Projects and FR'!D48*1.0575+(PMT(0.0575,20,'Capital Projects and FR'!D48,0))),0)</f>
        <v>0</v>
      </c>
      <c r="H67" s="4328">
        <f>IF(G67&gt;0,(G67*1.0575+PMT(0.0575,20,'Capital Projects and FR'!$D48,0)),0)</f>
        <v>0</v>
      </c>
      <c r="I67" s="4328">
        <f>IF(H67&gt;0,(H67*1.0575+PMT(0.0575,20,'Capital Projects and FR'!$D48,0)),0)</f>
        <v>0</v>
      </c>
      <c r="J67" s="4328">
        <f>IF(I67&gt;0,(I67*1.0575+PMT(0.0575,20,'Capital Projects and FR'!$D48,0)),0)</f>
        <v>0</v>
      </c>
      <c r="K67" s="4328">
        <f>IF(J67&gt;0,(J67*1.0575+PMT(0.0575,20,'Capital Projects and FR'!$D48,0)),0)</f>
        <v>0</v>
      </c>
      <c r="L67" s="4328">
        <f>IF(K67&gt;0,(K67*1.0575+PMT(0.0575,20,'Capital Projects and FR'!$D48,0)),0)</f>
        <v>0</v>
      </c>
      <c r="M67" s="4328">
        <f>IF(L67&gt;0,(L67*1.0575+PMT(0.0575,20,'Capital Projects and FR'!$D48,0)),0)</f>
        <v>0</v>
      </c>
      <c r="N67" s="4328">
        <f>IF(M67&gt;0,(M67*1.0575+PMT(0.0575,20,'Capital Projects and FR'!$D48,0)),0)</f>
        <v>0</v>
      </c>
      <c r="O67" s="4328">
        <f>IF(N67&gt;0,(N67*1.0575+PMT(0.0575,20,'Capital Projects and FR'!$D48,0)),0)</f>
        <v>0</v>
      </c>
      <c r="P67" s="4328">
        <f>IF(O67&gt;0,(O67*1.0575+PMT(0.0575,20,'Capital Projects and FR'!$D48,0)),0)</f>
        <v>0</v>
      </c>
      <c r="Q67" s="4328">
        <f>IF(P67&gt;0,(P67*1.0575+PMT(0.0575,20,'Capital Projects and FR'!$D48,0)),0)</f>
        <v>0</v>
      </c>
      <c r="R67" s="4328">
        <f>IF(Q67&gt;0,(Q67*1.0575+PMT(0.0575,20,'Capital Projects and FR'!$D48,0)),0)</f>
        <v>0</v>
      </c>
      <c r="S67" s="4328">
        <f>IF(R67&gt;0,(R67*1.0575+PMT(0.0575,20,'Capital Projects and FR'!$D48,0)),0)</f>
        <v>0</v>
      </c>
      <c r="T67" s="4328">
        <f>IF(S67&gt;0,(S67*1.0575+PMT(0.0575,20,'Capital Projects and FR'!$D48,0)),0)</f>
        <v>0</v>
      </c>
      <c r="U67" s="4328">
        <f>IF(T67&gt;0,(T67*1.0575+PMT(0.0575,20,'Capital Projects and FR'!$D48,0)),0)</f>
        <v>0</v>
      </c>
      <c r="V67" s="4328">
        <f>IF(U67&gt;0,(U67*1.0575+PMT(0.0575,20,'Capital Projects and FR'!$D48,0)),0)</f>
        <v>0</v>
      </c>
      <c r="W67" s="4328">
        <f>IF(V67&gt;0,(V67*1.0575+PMT(0.0575,20,'Capital Projects and FR'!$D48,0)),0)</f>
        <v>0</v>
      </c>
      <c r="X67" s="4328">
        <f>IF(W67&gt;0,(W67*1.0575+PMT(0.0575,20,'Capital Projects and FR'!$D48,0)),0)</f>
        <v>0</v>
      </c>
      <c r="Y67" s="4328">
        <f>IF(X67&gt;0,(X67*1.0575+PMT(0.0575,20,'Capital Projects and FR'!$D48,0)),0)</f>
        <v>0</v>
      </c>
      <c r="Z67" s="4328">
        <f>IF(Y67&gt;0,(Y67*1.0575+PMT(0.0575,20,'Capital Projects and FR'!$D48,0)),0)</f>
        <v>0</v>
      </c>
      <c r="AA67" s="4328">
        <v>0</v>
      </c>
    </row>
    <row r="68" spans="1:27" s="3261" customFormat="1">
      <c r="B68" s="3261" t="s">
        <v>615</v>
      </c>
      <c r="C68" s="4363">
        <f t="shared" ref="C68:AA68" si="32">SUM(C66:C67)</f>
        <v>5404313</v>
      </c>
      <c r="D68" s="4363">
        <f t="shared" si="32"/>
        <v>5372325</v>
      </c>
      <c r="E68" s="4363">
        <f t="shared" si="32"/>
        <v>5420037</v>
      </c>
      <c r="F68" s="4363">
        <f t="shared" si="32"/>
        <v>5310403</v>
      </c>
      <c r="G68" s="4363">
        <f t="shared" si="32"/>
        <v>5312223</v>
      </c>
      <c r="H68" s="4363">
        <f t="shared" si="32"/>
        <v>5310600</v>
      </c>
      <c r="I68" s="4363">
        <f t="shared" si="32"/>
        <v>4252847</v>
      </c>
      <c r="J68" s="4363">
        <f t="shared" si="32"/>
        <v>3732088</v>
      </c>
      <c r="K68" s="4363">
        <f t="shared" si="32"/>
        <v>3535799</v>
      </c>
      <c r="L68" s="4363">
        <f t="shared" si="32"/>
        <v>3261406</v>
      </c>
      <c r="M68" s="4363">
        <f t="shared" si="32"/>
        <v>3261116</v>
      </c>
      <c r="N68" s="4363">
        <f t="shared" si="32"/>
        <v>3265311</v>
      </c>
      <c r="O68" s="4363">
        <f t="shared" si="32"/>
        <v>3268374</v>
      </c>
      <c r="P68" s="4363">
        <f t="shared" si="32"/>
        <v>3270141</v>
      </c>
      <c r="Q68" s="4363">
        <f t="shared" si="32"/>
        <v>3271959</v>
      </c>
      <c r="R68" s="4363">
        <f t="shared" si="32"/>
        <v>3270179</v>
      </c>
      <c r="S68" s="4363">
        <f t="shared" si="32"/>
        <v>3267831</v>
      </c>
      <c r="T68" s="4363">
        <f t="shared" si="32"/>
        <v>1821750</v>
      </c>
      <c r="U68" s="4363">
        <f t="shared" si="32"/>
        <v>0</v>
      </c>
      <c r="V68" s="4363">
        <f t="shared" si="32"/>
        <v>0</v>
      </c>
      <c r="W68" s="4363">
        <f t="shared" si="32"/>
        <v>0</v>
      </c>
      <c r="X68" s="4363">
        <f t="shared" si="32"/>
        <v>0</v>
      </c>
      <c r="Y68" s="4363">
        <f t="shared" si="32"/>
        <v>0</v>
      </c>
      <c r="Z68" s="4363">
        <f t="shared" si="32"/>
        <v>0</v>
      </c>
      <c r="AA68" s="4363">
        <f t="shared" si="32"/>
        <v>0</v>
      </c>
    </row>
    <row r="69" spans="1:27">
      <c r="A69" s="4367"/>
      <c r="B69" s="3386"/>
      <c r="C69" s="3386"/>
      <c r="D69" s="3386"/>
      <c r="E69" s="3386"/>
      <c r="F69" s="3386"/>
      <c r="G69" s="3386"/>
      <c r="H69" s="3386"/>
      <c r="I69" s="3386"/>
      <c r="J69" s="3386"/>
      <c r="K69" s="3386"/>
      <c r="L69" s="3386"/>
      <c r="M69" s="3386"/>
      <c r="N69" s="3386"/>
      <c r="O69" s="3386"/>
      <c r="P69" s="3386"/>
      <c r="Q69" s="3386"/>
      <c r="R69" s="3386"/>
      <c r="S69" s="3386"/>
      <c r="T69" s="3386"/>
      <c r="U69" s="3386"/>
      <c r="V69" s="3386"/>
      <c r="W69" s="3386"/>
      <c r="X69" s="3386"/>
      <c r="Y69" s="3386"/>
      <c r="Z69" s="4368"/>
      <c r="AA69" s="4368"/>
    </row>
    <row r="70" spans="1:27">
      <c r="A70" s="3261" t="s">
        <v>273</v>
      </c>
      <c r="Z70" s="4328"/>
      <c r="AA70" s="4328"/>
    </row>
    <row r="71" spans="1:27" s="4364" customFormat="1">
      <c r="B71" s="4364" t="s">
        <v>637</v>
      </c>
      <c r="C71" s="4365">
        <v>0</v>
      </c>
      <c r="D71" s="4365">
        <v>0</v>
      </c>
      <c r="E71" s="4365">
        <v>0</v>
      </c>
      <c r="F71" s="4365">
        <v>0</v>
      </c>
      <c r="G71" s="4365">
        <v>0</v>
      </c>
      <c r="H71" s="4365">
        <v>0</v>
      </c>
      <c r="I71" s="4365">
        <v>0</v>
      </c>
      <c r="J71" s="4365">
        <v>0</v>
      </c>
      <c r="K71" s="4365">
        <v>0</v>
      </c>
      <c r="L71" s="4365">
        <v>0</v>
      </c>
      <c r="M71" s="4365">
        <v>0</v>
      </c>
      <c r="N71" s="4365">
        <v>0</v>
      </c>
      <c r="O71" s="4365">
        <v>0</v>
      </c>
      <c r="P71" s="4365">
        <v>0</v>
      </c>
      <c r="Q71" s="4365">
        <v>0</v>
      </c>
      <c r="R71" s="4365">
        <v>0</v>
      </c>
      <c r="S71" s="4365">
        <v>0</v>
      </c>
      <c r="T71" s="4365">
        <v>0</v>
      </c>
      <c r="U71" s="4365">
        <v>0</v>
      </c>
      <c r="V71" s="4365">
        <v>0</v>
      </c>
      <c r="W71" s="4365">
        <v>0</v>
      </c>
      <c r="X71" s="4365">
        <v>0</v>
      </c>
      <c r="Y71" s="4365">
        <v>0</v>
      </c>
      <c r="Z71" s="4365">
        <v>0</v>
      </c>
      <c r="AA71" s="4365">
        <v>0</v>
      </c>
    </row>
    <row r="72" spans="1:27">
      <c r="B72" s="3265" t="str">
        <f>'Capital Projects and FR'!A38</f>
        <v>PUNC Student Services and Activities Complex</v>
      </c>
      <c r="C72" s="4328"/>
      <c r="D72" s="4328"/>
      <c r="E72" s="4328"/>
      <c r="F72" s="4328">
        <f>IF('Capital Projects and FR'!$F38&gt;0,('Capital Projects and FR'!D38*1.0575+(PMT(0.0575,20,'Capital Projects and FR'!D38,0))),0)</f>
        <v>23038213.077907149</v>
      </c>
      <c r="G72" s="4328">
        <f>IF(F72&gt;0,(F72*1.0575+PMT(0.0575,20,'Capital Projects and FR'!$D38,0)),0)</f>
        <v>22338373.407793958</v>
      </c>
      <c r="H72" s="4328">
        <f>IF(G72&gt;0,(G72*1.0575+PMT(0.0575,20,'Capital Projects and FR'!$D38,0)),0)</f>
        <v>21598292.956649259</v>
      </c>
      <c r="I72" s="4328">
        <f>IF(H72&gt;0,(H72*1.0575+PMT(0.0575,20,'Capital Projects and FR'!$D38,0)),0)</f>
        <v>20815657.879563738</v>
      </c>
      <c r="J72" s="4328">
        <f>IF(I72&gt;0,(I72*1.0575+PMT(0.0575,20,'Capital Projects and FR'!$D38,0)),0)</f>
        <v>19988021.2855458</v>
      </c>
      <c r="K72" s="4328">
        <f>IF(J72&gt;0,(J72*1.0575+PMT(0.0575,20,'Capital Projects and FR'!$D38,0)),0)</f>
        <v>19112795.58737183</v>
      </c>
      <c r="L72" s="4328">
        <f>IF(K72&gt;0,(K72*1.0575+PMT(0.0575,20,'Capital Projects and FR'!$D38,0)),0)</f>
        <v>18187244.411552858</v>
      </c>
      <c r="M72" s="4328">
        <f>IF(L72&gt;0,(L72*1.0575+PMT(0.0575,20,'Capital Projects and FR'!$D38,0)),0)</f>
        <v>17208474.043124292</v>
      </c>
      <c r="N72" s="4328">
        <f>IF(M72&gt;0,(M72*1.0575+PMT(0.0575,20,'Capital Projects and FR'!$D38,0)),0)</f>
        <v>16173424.378511086</v>
      </c>
      <c r="O72" s="4328">
        <f>IF(N72&gt;0,(N72*1.0575+PMT(0.0575,20,'Capital Projects and FR'!$D38,0)),0)</f>
        <v>15078859.35818262</v>
      </c>
      <c r="P72" s="4328">
        <f>IF(O72&gt;0,(O72*1.0575+PMT(0.0575,20,'Capital Projects and FR'!$D38,0)),0)</f>
        <v>13921356.849185269</v>
      </c>
      <c r="Q72" s="4328">
        <f>IF(P72&gt;0,(P72*1.0575+PMT(0.0575,20,'Capital Projects and FR'!$D38,0)),0)</f>
        <v>12697297.945920568</v>
      </c>
      <c r="R72" s="4328">
        <f>IF(Q72&gt;0,(Q72*1.0575+PMT(0.0575,20,'Capital Projects and FR'!$D38,0)),0)</f>
        <v>11402855.655718148</v>
      </c>
      <c r="S72" s="4328">
        <f>IF(R72&gt;0,(R72*1.0575+PMT(0.0575,20,'Capital Projects and FR'!$D38,0)),0)</f>
        <v>10033982.933829088</v>
      </c>
      <c r="T72" s="4328">
        <f>IF(S72&gt;0,(S72*1.0575+PMT(0.0575,20,'Capital Projects and FR'!$D38,0)),0)</f>
        <v>8586400.0304314084</v>
      </c>
      <c r="U72" s="4328">
        <f>IF(T72&gt;0,(T72*1.0575+PMT(0.0575,20,'Capital Projects and FR'!$D38,0)),0)</f>
        <v>7055581.1100883605</v>
      </c>
      <c r="V72" s="4328">
        <f>IF(U72&gt;0,(U72*1.0575+PMT(0.0575,20,'Capital Projects and FR'!$D38,0)),0)</f>
        <v>5436740.1018255884</v>
      </c>
      <c r="W72" s="4328">
        <f>IF(V72&gt;0,(V72*1.0575+PMT(0.0575,20,'Capital Projects and FR'!$D38,0)),0)</f>
        <v>3724815.7355877059</v>
      </c>
      <c r="X72" s="4328">
        <f>IF(W72&gt;0,(W72*1.0575+PMT(0.0575,20,'Capital Projects and FR'!$D38,0)),0)</f>
        <v>1914455.7182911453</v>
      </c>
      <c r="Y72" s="4328">
        <f>IF(X72&gt;0,(X72*1.0575+PMT(0.0575,20,'Capital Projects and FR'!$D38,0)),0)</f>
        <v>3.2363459467887878E-8</v>
      </c>
      <c r="Z72" s="4328">
        <f>IF(Y72&gt;0,(Y72*1.0575+PMT(0.0575,20,'Capital Projects and FR'!$D38,0)),0)</f>
        <v>-2024536.9220928198</v>
      </c>
      <c r="AA72" s="4328">
        <f>IF(Z72&gt;0,(Z72*1.0575+PMT(0.0575,20,'Capital Projects and FR'!$D38,0)),0)</f>
        <v>0</v>
      </c>
    </row>
    <row r="73" spans="1:27">
      <c r="B73" s="3265" t="str">
        <f>'Capital Projects and FR'!A39</f>
        <v>PUNC Student Services and Activities Complex Planning Funds</v>
      </c>
      <c r="C73" s="4328"/>
      <c r="D73" s="4328"/>
      <c r="E73" s="4328"/>
      <c r="F73" s="4328"/>
      <c r="G73" s="4328">
        <f>IF('Capital Projects and FR'!$F39&gt;0,('Capital Projects and FR'!D39*1.0575+(PMT(0.0575,20,'Capital Projects and FR'!D39,0))),0)</f>
        <v>0</v>
      </c>
      <c r="H73" s="4328">
        <f>IF(G73&gt;0,(G73*1.0575+PMT(0.0575,20,'Capital Projects and FR'!$D39,0)),0)</f>
        <v>0</v>
      </c>
      <c r="I73" s="4328">
        <f>IF(H73&gt;0,(H73*1.0575+PMT(0.0575,20,'Capital Projects and FR'!$D39,0)),0)</f>
        <v>0</v>
      </c>
      <c r="J73" s="4328">
        <f>IF(I73&gt;0,(I73*1.0575+PMT(0.0575,20,'Capital Projects and FR'!$D39,0)),0)</f>
        <v>0</v>
      </c>
      <c r="K73" s="4328">
        <f>IF(J73&gt;0,(J73*1.0575+PMT(0.0575,20,'Capital Projects and FR'!$D39,0)),0)</f>
        <v>0</v>
      </c>
      <c r="L73" s="4328">
        <f>IF(K73&gt;0,(K73*1.0575+PMT(0.0575,20,'Capital Projects and FR'!$D39,0)),0)</f>
        <v>0</v>
      </c>
      <c r="M73" s="4328">
        <f>IF(L73&gt;0,(L73*1.0575+PMT(0.0575,20,'Capital Projects and FR'!$D39,0)),0)</f>
        <v>0</v>
      </c>
      <c r="N73" s="4328">
        <f>IF(M73&gt;0,(M73*1.0575+PMT(0.0575,20,'Capital Projects and FR'!$D39,0)),0)</f>
        <v>0</v>
      </c>
      <c r="O73" s="4328">
        <f>IF(N73&gt;0,(N73*1.0575+PMT(0.0575,20,'Capital Projects and FR'!$D39,0)),0)</f>
        <v>0</v>
      </c>
      <c r="P73" s="4328">
        <f>IF(O73&gt;0,(O73*1.0575+PMT(0.0575,20,'Capital Projects and FR'!$D39,0)),0)</f>
        <v>0</v>
      </c>
      <c r="Q73" s="4328">
        <f>IF(P73&gt;0,(P73*1.0575+PMT(0.0575,20,'Capital Projects and FR'!$D39,0)),0)</f>
        <v>0</v>
      </c>
      <c r="R73" s="4328">
        <f>IF(Q73&gt;0,(Q73*1.0575+PMT(0.0575,20,'Capital Projects and FR'!$D39,0)),0)</f>
        <v>0</v>
      </c>
      <c r="S73" s="4328">
        <f>IF(R73&gt;0,(R73*1.0575+PMT(0.0575,20,'Capital Projects and FR'!$D39,0)),0)</f>
        <v>0</v>
      </c>
      <c r="T73" s="4328">
        <f>IF(S73&gt;0,(S73*1.0575+PMT(0.0575,20,'Capital Projects and FR'!$D39,0)),0)</f>
        <v>0</v>
      </c>
      <c r="U73" s="4328">
        <f>IF(T73&gt;0,(T73*1.0575+PMT(0.0575,20,'Capital Projects and FR'!$D39,0)),0)</f>
        <v>0</v>
      </c>
      <c r="V73" s="4328">
        <f>IF(U73&gt;0,(U73*1.0575+PMT(0.0575,20,'Capital Projects and FR'!$D39,0)),0)</f>
        <v>0</v>
      </c>
      <c r="W73" s="4328">
        <f>IF(V73&gt;0,(V73*1.0575+PMT(0.0575,20,'Capital Projects and FR'!$D39,0)),0)</f>
        <v>0</v>
      </c>
      <c r="X73" s="4328">
        <f>IF(W73&gt;0,(W73*1.0575+PMT(0.0575,20,'Capital Projects and FR'!$D39,0)),0)</f>
        <v>0</v>
      </c>
      <c r="Y73" s="4328">
        <f>IF(X73&gt;0,(X73*1.0575+PMT(0.0575,20,'Capital Projects and FR'!$D39,0)),0)</f>
        <v>0</v>
      </c>
      <c r="Z73" s="4328">
        <f>IF(Y73&gt;0,(Y73*1.0575+PMT(0.0575,20,'Capital Projects and FR'!$D39,0)),0)</f>
        <v>0</v>
      </c>
      <c r="AA73" s="4328">
        <f>IF(Z73&gt;0,(Z73*1.0575+PMT(0.0575,20,'Capital Projects and FR'!$D39,0)),0)</f>
        <v>0</v>
      </c>
    </row>
    <row r="74" spans="1:27" s="3261" customFormat="1">
      <c r="B74" s="3261" t="s">
        <v>615</v>
      </c>
      <c r="C74" s="4363">
        <f t="shared" ref="C74:AA74" si="33">SUM(C71:C73)</f>
        <v>0</v>
      </c>
      <c r="D74" s="4363">
        <f t="shared" si="33"/>
        <v>0</v>
      </c>
      <c r="E74" s="4363">
        <f t="shared" si="33"/>
        <v>0</v>
      </c>
      <c r="F74" s="4363">
        <f t="shared" si="33"/>
        <v>23038213.077907149</v>
      </c>
      <c r="G74" s="4363">
        <f t="shared" si="33"/>
        <v>22338373.407793958</v>
      </c>
      <c r="H74" s="4363">
        <f t="shared" si="33"/>
        <v>21598292.956649259</v>
      </c>
      <c r="I74" s="4363">
        <f t="shared" si="33"/>
        <v>20815657.879563738</v>
      </c>
      <c r="J74" s="4363">
        <f t="shared" si="33"/>
        <v>19988021.2855458</v>
      </c>
      <c r="K74" s="4363">
        <f t="shared" si="33"/>
        <v>19112795.58737183</v>
      </c>
      <c r="L74" s="4363">
        <f t="shared" si="33"/>
        <v>18187244.411552858</v>
      </c>
      <c r="M74" s="4363">
        <f t="shared" si="33"/>
        <v>17208474.043124292</v>
      </c>
      <c r="N74" s="4363">
        <f t="shared" si="33"/>
        <v>16173424.378511086</v>
      </c>
      <c r="O74" s="4363">
        <f t="shared" si="33"/>
        <v>15078859.35818262</v>
      </c>
      <c r="P74" s="4363">
        <f t="shared" si="33"/>
        <v>13921356.849185269</v>
      </c>
      <c r="Q74" s="4363">
        <f t="shared" si="33"/>
        <v>12697297.945920568</v>
      </c>
      <c r="R74" s="4363">
        <f t="shared" si="33"/>
        <v>11402855.655718148</v>
      </c>
      <c r="S74" s="4363">
        <f t="shared" si="33"/>
        <v>10033982.933829088</v>
      </c>
      <c r="T74" s="4363">
        <f t="shared" si="33"/>
        <v>8586400.0304314084</v>
      </c>
      <c r="U74" s="4363">
        <f t="shared" si="33"/>
        <v>7055581.1100883605</v>
      </c>
      <c r="V74" s="4363">
        <f t="shared" si="33"/>
        <v>5436740.1018255884</v>
      </c>
      <c r="W74" s="4363">
        <f t="shared" si="33"/>
        <v>3724815.7355877059</v>
      </c>
      <c r="X74" s="4363">
        <f t="shared" si="33"/>
        <v>1914455.7182911453</v>
      </c>
      <c r="Y74" s="4363">
        <f t="shared" si="33"/>
        <v>3.2363459467887878E-8</v>
      </c>
      <c r="Z74" s="4363">
        <f t="shared" si="33"/>
        <v>-2024536.9220928198</v>
      </c>
      <c r="AA74" s="4363">
        <f t="shared" si="33"/>
        <v>0</v>
      </c>
    </row>
    <row r="75" spans="1:27">
      <c r="A75" s="4367"/>
      <c r="B75" s="3386"/>
      <c r="C75" s="3386"/>
      <c r="D75" s="3386"/>
      <c r="E75" s="3386"/>
      <c r="F75" s="3386"/>
      <c r="G75" s="3386"/>
      <c r="H75" s="3386"/>
      <c r="I75" s="3386"/>
      <c r="J75" s="3386"/>
      <c r="K75" s="3386"/>
      <c r="L75" s="3386"/>
      <c r="M75" s="3386"/>
      <c r="N75" s="3386"/>
      <c r="O75" s="3386"/>
      <c r="P75" s="3386"/>
      <c r="Q75" s="3386"/>
      <c r="R75" s="3386"/>
      <c r="S75" s="3386"/>
      <c r="T75" s="3386"/>
      <c r="U75" s="3386"/>
      <c r="V75" s="3386"/>
      <c r="W75" s="3386"/>
      <c r="X75" s="3386"/>
      <c r="Y75" s="3386"/>
      <c r="Z75" s="4368"/>
      <c r="AA75" s="4368"/>
    </row>
    <row r="76" spans="1:27">
      <c r="A76" s="3261" t="s">
        <v>263</v>
      </c>
    </row>
    <row r="77" spans="1:27" s="4364" customFormat="1">
      <c r="B77" s="4364" t="s">
        <v>637</v>
      </c>
      <c r="C77" s="4365">
        <v>157351348</v>
      </c>
      <c r="D77" s="4365">
        <v>145739976</v>
      </c>
      <c r="E77" s="4365">
        <v>136745497</v>
      </c>
      <c r="F77" s="4365">
        <v>127308895</v>
      </c>
      <c r="G77" s="4365">
        <v>117224072</v>
      </c>
      <c r="H77" s="4365">
        <v>106656580</v>
      </c>
      <c r="I77" s="4365">
        <v>95653421</v>
      </c>
      <c r="J77" s="4365">
        <v>83903321</v>
      </c>
      <c r="K77" s="4365">
        <v>74179238</v>
      </c>
      <c r="L77" s="4365">
        <v>65484856</v>
      </c>
      <c r="M77" s="4365">
        <v>56376047</v>
      </c>
      <c r="N77" s="4365">
        <v>48300000</v>
      </c>
      <c r="O77" s="4365">
        <v>39770000</v>
      </c>
      <c r="P77" s="4365">
        <v>30835000</v>
      </c>
      <c r="Q77" s="4365">
        <v>21480000</v>
      </c>
      <c r="R77" s="4365">
        <v>14020000</v>
      </c>
      <c r="S77" s="4365">
        <v>6200000</v>
      </c>
      <c r="T77" s="4365">
        <v>3325000</v>
      </c>
      <c r="U77" s="4365">
        <v>1695000</v>
      </c>
      <c r="V77" s="4365">
        <v>0</v>
      </c>
      <c r="W77" s="4365">
        <v>0</v>
      </c>
      <c r="X77" s="4365">
        <v>0</v>
      </c>
      <c r="Y77" s="4365">
        <v>0</v>
      </c>
      <c r="Z77" s="4365">
        <v>0</v>
      </c>
      <c r="AA77" s="4365">
        <v>0</v>
      </c>
    </row>
    <row r="78" spans="1:27">
      <c r="B78" s="3265" t="str">
        <f>'Capital Projects and FR'!A34</f>
        <v>IUB Academic Core Renovations Phase I</v>
      </c>
      <c r="C78" s="4328"/>
      <c r="D78" s="4328"/>
      <c r="E78" s="4328"/>
      <c r="F78" s="4328">
        <f>IF('Capital Projects and FR'!$F34&gt;0,('Capital Projects and FR'!D34*1.0575+(PMT(0.0575,20,'Capital Projects and FR'!D34,0))),0)</f>
        <v>20413606.524727855</v>
      </c>
      <c r="G78" s="4328">
        <f>IF(F78&gt;0,(F78*1.0575+PMT(0.0575,20,'Capital Projects and FR'!$D34,0)),0)</f>
        <v>19793495.424627561</v>
      </c>
      <c r="H78" s="4328">
        <f>IF(G78&gt;0,(G78*1.0575+PMT(0.0575,20,'Capital Projects and FR'!$D34,0)),0)</f>
        <v>19137727.9362715</v>
      </c>
      <c r="I78" s="4328">
        <f>IF(H78&gt;0,(H78*1.0575+PMT(0.0575,20,'Capital Projects and FR'!$D34,0)),0)</f>
        <v>18444253.817334965</v>
      </c>
      <c r="J78" s="4328">
        <f>IF(I78&gt;0,(I78*1.0575+PMT(0.0575,20,'Capital Projects and FR'!$D34,0)),0)</f>
        <v>17710904.93655958</v>
      </c>
      <c r="K78" s="4328">
        <f>IF(J78&gt;0,(J78*1.0575+PMT(0.0575,20,'Capital Projects and FR'!$D34,0)),0)</f>
        <v>16935388.49513961</v>
      </c>
      <c r="L78" s="4328">
        <f>IF(K78&gt;0,(K78*1.0575+PMT(0.0575,20,'Capital Projects and FR'!$D34,0)),0)</f>
        <v>16115279.858337991</v>
      </c>
      <c r="M78" s="4328">
        <f>IF(L78&gt;0,(L78*1.0575+PMT(0.0575,20,'Capital Projects and FR'!$D34,0)),0)</f>
        <v>15248014.974920277</v>
      </c>
      <c r="N78" s="4328">
        <f>IF(M78&gt;0,(M78*1.0575+PMT(0.0575,20,'Capital Projects and FR'!$D34,0)),0)</f>
        <v>14330882.360706044</v>
      </c>
      <c r="O78" s="4328">
        <f>IF(N78&gt;0,(N78*1.0575+PMT(0.0575,20,'Capital Projects and FR'!$D34,0)),0)</f>
        <v>13361014.621174494</v>
      </c>
      <c r="P78" s="4328">
        <f>IF(O78&gt;0,(O78*1.0575+PMT(0.0575,20,'Capital Projects and FR'!$D34,0)),0)</f>
        <v>12335379.48661988</v>
      </c>
      <c r="Q78" s="4328">
        <f>IF(P78&gt;0,(P78*1.0575+PMT(0.0575,20,'Capital Projects and FR'!$D34,0)),0)</f>
        <v>11250770.331828376</v>
      </c>
      <c r="R78" s="4328">
        <f>IF(Q78&gt;0,(Q78*1.0575+PMT(0.0575,20,'Capital Projects and FR'!$D34,0)),0)</f>
        <v>10103796.15063636</v>
      </c>
      <c r="S78" s="4328">
        <f>IF(R78&gt;0,(R78*1.0575+PMT(0.0575,20,'Capital Projects and FR'!$D34,0)),0)</f>
        <v>8890870.9540258031</v>
      </c>
      <c r="T78" s="4328">
        <f>IF(S78&gt;0,(S78*1.0575+PMT(0.0575,20,'Capital Projects and FR'!$D34,0)),0)</f>
        <v>7608202.5586101394</v>
      </c>
      <c r="U78" s="4328">
        <f>IF(T78&gt;0,(T78*1.0575+PMT(0.0575,20,'Capital Projects and FR'!$D34,0)),0)</f>
        <v>6251780.7304580742</v>
      </c>
      <c r="V78" s="4328">
        <f>IF(U78&gt;0,(U78*1.0575+PMT(0.0575,20,'Capital Projects and FR'!$D34,0)),0)</f>
        <v>4817364.6471872656</v>
      </c>
      <c r="W78" s="4328">
        <f>IF(V78&gt;0,(V78*1.0575+PMT(0.0575,20,'Capital Projects and FR'!$D34,0)),0)</f>
        <v>3300469.6391283851</v>
      </c>
      <c r="X78" s="4328">
        <f>IF(W78&gt;0,(W78*1.0575+PMT(0.0575,20,'Capital Projects and FR'!$D34,0)),0)</f>
        <v>1696353.1681061184</v>
      </c>
      <c r="Y78" s="4328">
        <f>IF(X78&gt;0,(X78*1.0575+PMT(0.0575,20,'Capital Projects and FR'!$D34,0)),0)</f>
        <v>7.1246176958084106E-8</v>
      </c>
      <c r="Z78" s="4328">
        <v>0</v>
      </c>
      <c r="AA78" s="4328">
        <v>0</v>
      </c>
    </row>
    <row r="79" spans="1:27">
      <c r="B79" s="3265" t="str">
        <f>'Capital Projects and FR'!A64</f>
        <v>IUB Campus Utility Infrastructure Repairs</v>
      </c>
      <c r="C79" s="4328"/>
      <c r="D79" s="4328"/>
      <c r="E79" s="4328"/>
      <c r="F79" s="4328"/>
      <c r="G79" s="4328">
        <f>IF('Capital Projects and FR'!$F64&gt;0,('Capital Projects and FR'!D64*1.0575+(PMT(0.0575,20,'Capital Projects and FR'!D64,0))),0)</f>
        <v>0</v>
      </c>
      <c r="H79" s="4328">
        <f>IF(G79&gt;0,(G79*1.0575+PMT(0.0575,20,'Capital Projects and FR'!$D64,0)),0)</f>
        <v>0</v>
      </c>
      <c r="I79" s="4328">
        <f>IF(H79&gt;0,(H79*1.0575+PMT(0.0575,20,'Capital Projects and FR'!$D64,0)),0)</f>
        <v>0</v>
      </c>
      <c r="J79" s="4328">
        <f>IF(I79&gt;0,(I79*1.0575+PMT(0.0575,20,'Capital Projects and FR'!$D64,0)),0)</f>
        <v>0</v>
      </c>
      <c r="K79" s="4328">
        <f>IF(J79&gt;0,(J79*1.0575+PMT(0.0575,20,'Capital Projects and FR'!$D64,0)),0)</f>
        <v>0</v>
      </c>
      <c r="L79" s="4328">
        <f>IF(K79&gt;0,(K79*1.0575+PMT(0.0575,20,'Capital Projects and FR'!$D64,0)),0)</f>
        <v>0</v>
      </c>
      <c r="M79" s="4328">
        <f>IF(L79&gt;0,(L79*1.0575+PMT(0.0575,20,'Capital Projects and FR'!$D64,0)),0)</f>
        <v>0</v>
      </c>
      <c r="N79" s="4328">
        <f>IF(M79&gt;0,(M79*1.0575+PMT(0.0575,20,'Capital Projects and FR'!$D64,0)),0)</f>
        <v>0</v>
      </c>
      <c r="O79" s="4328">
        <f>IF(N79&gt;0,(N79*1.0575+PMT(0.0575,20,'Capital Projects and FR'!$D64,0)),0)</f>
        <v>0</v>
      </c>
      <c r="P79" s="4328">
        <f>IF(O79&gt;0,(O79*1.0575+PMT(0.0575,20,'Capital Projects and FR'!$D64,0)),0)</f>
        <v>0</v>
      </c>
      <c r="Q79" s="4328">
        <f>IF(P79&gt;0,(P79*1.0575+PMT(0.0575,20,'Capital Projects and FR'!$D64,0)),0)</f>
        <v>0</v>
      </c>
      <c r="R79" s="4328">
        <f>IF(Q79&gt;0,(Q79*1.0575+PMT(0.0575,20,'Capital Projects and FR'!$D64,0)),0)</f>
        <v>0</v>
      </c>
      <c r="S79" s="4328">
        <f>IF(R79&gt;0,(R79*1.0575+PMT(0.0575,20,'Capital Projects and FR'!$D64,0)),0)</f>
        <v>0</v>
      </c>
      <c r="T79" s="4328">
        <f>IF(S79&gt;0,(S79*1.0575+PMT(0.0575,20,'Capital Projects and FR'!$D64,0)),0)</f>
        <v>0</v>
      </c>
      <c r="U79" s="4328">
        <f>IF(T79&gt;0,(T79*1.0575+PMT(0.0575,20,'Capital Projects and FR'!$D64,0)),0)</f>
        <v>0</v>
      </c>
      <c r="V79" s="4328">
        <f>IF(U79&gt;0,(U79*1.0575+PMT(0.0575,20,'Capital Projects and FR'!$D64,0)),0)</f>
        <v>0</v>
      </c>
      <c r="W79" s="4328">
        <f>IF(V79&gt;0,(V79*1.0575+PMT(0.0575,20,'Capital Projects and FR'!$D64,0)),0)</f>
        <v>0</v>
      </c>
      <c r="X79" s="4328">
        <f>IF(W79&gt;0,(W79*1.0575+PMT(0.0575,20,'Capital Projects and FR'!$D64,0)),0)</f>
        <v>0</v>
      </c>
      <c r="Y79" s="4328">
        <f>IF(X79&gt;0,(X79*1.0575+PMT(0.0575,20,'Capital Projects and FR'!$D64,0)),0)</f>
        <v>0</v>
      </c>
      <c r="Z79" s="4328">
        <f>IF(Y79&gt;0,(Y79*1.0575+PMT(0.0575,20,'Capital Projects and FR'!$D64,0)),0)</f>
        <v>0</v>
      </c>
      <c r="AA79" s="4328">
        <f>IF(Z79&gt;0,(Z79*1.0575+PMT(0.0575,20,'Capital Projects and FR'!$D64,0)),0)</f>
        <v>0</v>
      </c>
    </row>
    <row r="80" spans="1:27">
      <c r="B80" s="3265" t="str">
        <f>'Capital Projects and FR'!A65</f>
        <v>IUB Ernie Pyle Hall Renovation</v>
      </c>
      <c r="C80" s="4328"/>
      <c r="D80" s="4328"/>
      <c r="E80" s="4328"/>
      <c r="F80" s="4328"/>
      <c r="G80" s="4328">
        <f>IF('Capital Projects and FR'!$F65&gt;0,('Capital Projects and FR'!D65*1.0575+(PMT(0.0575,20,'Capital Projects and FR'!D65,0))),0)</f>
        <v>0</v>
      </c>
      <c r="H80" s="4328">
        <f>IF(G80&gt;0,(G80*1.0575+PMT(0.0575,20,'Capital Projects and FR'!$D65,0)),0)</f>
        <v>0</v>
      </c>
      <c r="I80" s="4328">
        <f>IF(H80&gt;0,(H80*1.0575+PMT(0.0575,20,'Capital Projects and FR'!$D65,0)),0)</f>
        <v>0</v>
      </c>
      <c r="J80" s="4328">
        <f>IF(I80&gt;0,(I80*1.0575+PMT(0.0575,20,'Capital Projects and FR'!$D65,0)),0)</f>
        <v>0</v>
      </c>
      <c r="K80" s="4328">
        <f>IF(J80&gt;0,(J80*1.0575+PMT(0.0575,20,'Capital Projects and FR'!$D65,0)),0)</f>
        <v>0</v>
      </c>
      <c r="L80" s="4328">
        <f>IF(K80&gt;0,(K80*1.0575+PMT(0.0575,20,'Capital Projects and FR'!$D65,0)),0)</f>
        <v>0</v>
      </c>
      <c r="M80" s="4328">
        <f>IF(L80&gt;0,(L80*1.0575+PMT(0.0575,20,'Capital Projects and FR'!$D65,0)),0)</f>
        <v>0</v>
      </c>
      <c r="N80" s="4328">
        <f>IF(M80&gt;0,(M80*1.0575+PMT(0.0575,20,'Capital Projects and FR'!$D65,0)),0)</f>
        <v>0</v>
      </c>
      <c r="O80" s="4328">
        <f>IF(N80&gt;0,(N80*1.0575+PMT(0.0575,20,'Capital Projects and FR'!$D65,0)),0)</f>
        <v>0</v>
      </c>
      <c r="P80" s="4328">
        <f>IF(O80&gt;0,(O80*1.0575+PMT(0.0575,20,'Capital Projects and FR'!$D65,0)),0)</f>
        <v>0</v>
      </c>
      <c r="Q80" s="4328">
        <f>IF(P80&gt;0,(P80*1.0575+PMT(0.0575,20,'Capital Projects and FR'!$D65,0)),0)</f>
        <v>0</v>
      </c>
      <c r="R80" s="4328">
        <f>IF(Q80&gt;0,(Q80*1.0575+PMT(0.0575,20,'Capital Projects and FR'!$D65,0)),0)</f>
        <v>0</v>
      </c>
      <c r="S80" s="4328">
        <f>IF(R80&gt;0,(R80*1.0575+PMT(0.0575,20,'Capital Projects and FR'!$D65,0)),0)</f>
        <v>0</v>
      </c>
      <c r="T80" s="4328">
        <f>IF(S80&gt;0,(S80*1.0575+PMT(0.0575,20,'Capital Projects and FR'!$D65,0)),0)</f>
        <v>0</v>
      </c>
      <c r="U80" s="4328">
        <f>IF(T80&gt;0,(T80*1.0575+PMT(0.0575,20,'Capital Projects and FR'!$D65,0)),0)</f>
        <v>0</v>
      </c>
      <c r="V80" s="4328">
        <f>IF(U80&gt;0,(U80*1.0575+PMT(0.0575,20,'Capital Projects and FR'!$D65,0)),0)</f>
        <v>0</v>
      </c>
      <c r="W80" s="4328">
        <f>IF(V80&gt;0,(V80*1.0575+PMT(0.0575,20,'Capital Projects and FR'!$D65,0)),0)</f>
        <v>0</v>
      </c>
      <c r="X80" s="4328">
        <f>IF(W80&gt;0,(W80*1.0575+PMT(0.0575,20,'Capital Projects and FR'!$D65,0)),0)</f>
        <v>0</v>
      </c>
      <c r="Y80" s="4328">
        <f>IF(X80&gt;0,(X80*1.0575+PMT(0.0575,20,'Capital Projects and FR'!$D65,0)),0)</f>
        <v>0</v>
      </c>
      <c r="Z80" s="4328">
        <f>IF(Y80&gt;0,(Y80*1.0575+PMT(0.0575,20,'Capital Projects and FR'!$D65,0)),0)</f>
        <v>0</v>
      </c>
      <c r="AA80" s="4328">
        <f>IF(Z80&gt;0,(Z80*1.0575+PMT(0.0575,20,'Capital Projects and FR'!$D65,0)),0)</f>
        <v>0</v>
      </c>
    </row>
    <row r="81" spans="1:27">
      <c r="B81" s="3265" t="str">
        <f>'Capital Projects and FR'!A66</f>
        <v>IUB Multidisciplinary Science Building Phase III</v>
      </c>
      <c r="C81" s="4328"/>
      <c r="D81" s="4328"/>
      <c r="E81" s="4328"/>
      <c r="F81" s="4328"/>
      <c r="G81" s="4328">
        <f>IF('Capital Projects and FR'!$F66&gt;0,('Capital Projects and FR'!D66*1.0575+(PMT(0.0575,20,'Capital Projects and FR'!D66,0))),0)</f>
        <v>0</v>
      </c>
      <c r="H81" s="4328">
        <f>IF(G81&gt;0,(G81*1.0575+PMT(0.0575,20,'Capital Projects and FR'!$D66,0)),0)</f>
        <v>0</v>
      </c>
      <c r="I81" s="4328">
        <f>IF(H81&gt;0,(H81*1.0575+PMT(0.0575,20,'Capital Projects and FR'!$D66,0)),0)</f>
        <v>0</v>
      </c>
      <c r="J81" s="4328">
        <f>IF(I81&gt;0,(I81*1.0575+PMT(0.0575,20,'Capital Projects and FR'!$D66,0)),0)</f>
        <v>0</v>
      </c>
      <c r="K81" s="4328">
        <f>IF(J81&gt;0,(J81*1.0575+PMT(0.0575,20,'Capital Projects and FR'!$D66,0)),0)</f>
        <v>0</v>
      </c>
      <c r="L81" s="4328">
        <f>IF(K81&gt;0,(K81*1.0575+PMT(0.0575,20,'Capital Projects and FR'!$D66,0)),0)</f>
        <v>0</v>
      </c>
      <c r="M81" s="4328">
        <f>IF(L81&gt;0,(L81*1.0575+PMT(0.0575,20,'Capital Projects and FR'!$D66,0)),0)</f>
        <v>0</v>
      </c>
      <c r="N81" s="4328">
        <f>IF(M81&gt;0,(M81*1.0575+PMT(0.0575,20,'Capital Projects and FR'!$D66,0)),0)</f>
        <v>0</v>
      </c>
      <c r="O81" s="4328">
        <f>IF(N81&gt;0,(N81*1.0575+PMT(0.0575,20,'Capital Projects and FR'!$D66,0)),0)</f>
        <v>0</v>
      </c>
      <c r="P81" s="4328">
        <f>IF(O81&gt;0,(O81*1.0575+PMT(0.0575,20,'Capital Projects and FR'!$D66,0)),0)</f>
        <v>0</v>
      </c>
      <c r="Q81" s="4328">
        <f>IF(P81&gt;0,(P81*1.0575+PMT(0.0575,20,'Capital Projects and FR'!$D66,0)),0)</f>
        <v>0</v>
      </c>
      <c r="R81" s="4328">
        <f>IF(Q81&gt;0,(Q81*1.0575+PMT(0.0575,20,'Capital Projects and FR'!$D66,0)),0)</f>
        <v>0</v>
      </c>
      <c r="S81" s="4328">
        <f>IF(R81&gt;0,(R81*1.0575+PMT(0.0575,20,'Capital Projects and FR'!$D66,0)),0)</f>
        <v>0</v>
      </c>
      <c r="T81" s="4328">
        <f>IF(S81&gt;0,(S81*1.0575+PMT(0.0575,20,'Capital Projects and FR'!$D66,0)),0)</f>
        <v>0</v>
      </c>
      <c r="U81" s="4328">
        <f>IF(T81&gt;0,(T81*1.0575+PMT(0.0575,20,'Capital Projects and FR'!$D66,0)),0)</f>
        <v>0</v>
      </c>
      <c r="V81" s="4328">
        <f>IF(U81&gt;0,(U81*1.0575+PMT(0.0575,20,'Capital Projects and FR'!$D66,0)),0)</f>
        <v>0</v>
      </c>
      <c r="W81" s="4328">
        <f>IF(V81&gt;0,(V81*1.0575+PMT(0.0575,20,'Capital Projects and FR'!$D66,0)),0)</f>
        <v>0</v>
      </c>
      <c r="X81" s="4328">
        <f>IF(W81&gt;0,(W81*1.0575+PMT(0.0575,20,'Capital Projects and FR'!$D66,0)),0)</f>
        <v>0</v>
      </c>
      <c r="Y81" s="4328">
        <f>IF(X81&gt;0,(X81*1.0575+PMT(0.0575,20,'Capital Projects and FR'!$D66,0)),0)</f>
        <v>0</v>
      </c>
      <c r="Z81" s="4328">
        <f>IF(Y81&gt;0,(Y81*1.0575+PMT(0.0575,20,'Capital Projects and FR'!$D66,0)),0)</f>
        <v>0</v>
      </c>
      <c r="AA81" s="4328">
        <f>IF(Z81&gt;0,(Z81*1.0575+PMT(0.0575,20,'Capital Projects and FR'!$D66,0)),0)</f>
        <v>0</v>
      </c>
    </row>
    <row r="82" spans="1:27">
      <c r="B82" s="3265" t="str">
        <f>'Capital Projects and FR'!A67</f>
        <v>IUB School of Informatics Building</v>
      </c>
      <c r="C82" s="4328"/>
      <c r="D82" s="4328"/>
      <c r="E82" s="4328"/>
      <c r="F82" s="4328"/>
      <c r="G82" s="4328">
        <f>IF('Capital Projects and FR'!$F67&gt;0,('Capital Projects and FR'!D67*1.0575+(PMT(0.0575,20,'Capital Projects and FR'!D67,0))),0)</f>
        <v>0</v>
      </c>
      <c r="H82" s="4328">
        <f>IF(G82&gt;0,(G82*1.0575+PMT(0.0575,20,'Capital Projects and FR'!$D67,0)),0)</f>
        <v>0</v>
      </c>
      <c r="I82" s="4328">
        <f>IF(H82&gt;0,(H82*1.0575+PMT(0.0575,20,'Capital Projects and FR'!$D67,0)),0)</f>
        <v>0</v>
      </c>
      <c r="J82" s="4328">
        <f>IF(I82&gt;0,(I82*1.0575+PMT(0.0575,20,'Capital Projects and FR'!$D67,0)),0)</f>
        <v>0</v>
      </c>
      <c r="K82" s="4328">
        <f>IF(J82&gt;0,(J82*1.0575+PMT(0.0575,20,'Capital Projects and FR'!$D67,0)),0)</f>
        <v>0</v>
      </c>
      <c r="L82" s="4328">
        <f>IF(K82&gt;0,(K82*1.0575+PMT(0.0575,20,'Capital Projects and FR'!$D67,0)),0)</f>
        <v>0</v>
      </c>
      <c r="M82" s="4328">
        <f>IF(L82&gt;0,(L82*1.0575+PMT(0.0575,20,'Capital Projects and FR'!$D67,0)),0)</f>
        <v>0</v>
      </c>
      <c r="N82" s="4328">
        <f>IF(M82&gt;0,(M82*1.0575+PMT(0.0575,20,'Capital Projects and FR'!$D67,0)),0)</f>
        <v>0</v>
      </c>
      <c r="O82" s="4328">
        <f>IF(N82&gt;0,(N82*1.0575+PMT(0.0575,20,'Capital Projects and FR'!$D67,0)),0)</f>
        <v>0</v>
      </c>
      <c r="P82" s="4328">
        <f>IF(O82&gt;0,(O82*1.0575+PMT(0.0575,20,'Capital Projects and FR'!$D67,0)),0)</f>
        <v>0</v>
      </c>
      <c r="Q82" s="4328">
        <f>IF(P82&gt;0,(P82*1.0575+PMT(0.0575,20,'Capital Projects and FR'!$D67,0)),0)</f>
        <v>0</v>
      </c>
      <c r="R82" s="4328">
        <f>IF(Q82&gt;0,(Q82*1.0575+PMT(0.0575,20,'Capital Projects and FR'!$D67,0)),0)</f>
        <v>0</v>
      </c>
      <c r="S82" s="4328">
        <f>IF(R82&gt;0,(R82*1.0575+PMT(0.0575,20,'Capital Projects and FR'!$D67,0)),0)</f>
        <v>0</v>
      </c>
      <c r="T82" s="4328">
        <f>IF(S82&gt;0,(S82*1.0575+PMT(0.0575,20,'Capital Projects and FR'!$D67,0)),0)</f>
        <v>0</v>
      </c>
      <c r="U82" s="4328">
        <f>IF(T82&gt;0,(T82*1.0575+PMT(0.0575,20,'Capital Projects and FR'!$D67,0)),0)</f>
        <v>0</v>
      </c>
      <c r="V82" s="4328">
        <f>IF(U82&gt;0,(U82*1.0575+PMT(0.0575,20,'Capital Projects and FR'!$D67,0)),0)</f>
        <v>0</v>
      </c>
      <c r="W82" s="4328">
        <f>IF(V82&gt;0,(V82*1.0575+PMT(0.0575,20,'Capital Projects and FR'!$D67,0)),0)</f>
        <v>0</v>
      </c>
      <c r="X82" s="4328">
        <f>IF(W82&gt;0,(W82*1.0575+PMT(0.0575,20,'Capital Projects and FR'!$D67,0)),0)</f>
        <v>0</v>
      </c>
      <c r="Y82" s="4328">
        <f>IF(X82&gt;0,(X82*1.0575+PMT(0.0575,20,'Capital Projects and FR'!$D67,0)),0)</f>
        <v>0</v>
      </c>
      <c r="Z82" s="4328">
        <f>IF(Y82&gt;0,(Y82*1.0575+PMT(0.0575,20,'Capital Projects and FR'!$D67,0)),0)</f>
        <v>0</v>
      </c>
      <c r="AA82" s="4328">
        <f>IF(Z82&gt;0,(Z82*1.0575+PMT(0.0575,20,'Capital Projects and FR'!$D67,0)),0)</f>
        <v>0</v>
      </c>
    </row>
    <row r="83" spans="1:27">
      <c r="B83" s="3265" t="str">
        <f>'Capital Projects and FR'!A68</f>
        <v>IUB Wells Library Renovation Phase I</v>
      </c>
      <c r="C83" s="4328"/>
      <c r="D83" s="4328"/>
      <c r="E83" s="4328"/>
      <c r="F83" s="4328"/>
      <c r="G83" s="4328">
        <f>IF('Capital Projects and FR'!$F68&gt;0,('Capital Projects and FR'!D68*1.0575+(PMT(0.0575,20,'Capital Projects and FR'!D68,0))),0)</f>
        <v>0</v>
      </c>
      <c r="H83" s="4328">
        <f>IF(G83&gt;0,(G83*1.0575+PMT(0.0575,20,'Capital Projects and FR'!$D68,0)),0)</f>
        <v>0</v>
      </c>
      <c r="I83" s="4328">
        <f>IF(H83&gt;0,(H83*1.0575+PMT(0.0575,20,'Capital Projects and FR'!$D68,0)),0)</f>
        <v>0</v>
      </c>
      <c r="J83" s="4328">
        <f>IF(I83&gt;0,(I83*1.0575+PMT(0.0575,20,'Capital Projects and FR'!$D68,0)),0)</f>
        <v>0</v>
      </c>
      <c r="K83" s="4328">
        <f>IF(J83&gt;0,(J83*1.0575+PMT(0.0575,20,'Capital Projects and FR'!$D68,0)),0)</f>
        <v>0</v>
      </c>
      <c r="L83" s="4328">
        <f>IF(K83&gt;0,(K83*1.0575+PMT(0.0575,20,'Capital Projects and FR'!$D68,0)),0)</f>
        <v>0</v>
      </c>
      <c r="M83" s="4328">
        <f>IF(L83&gt;0,(L83*1.0575+PMT(0.0575,20,'Capital Projects and FR'!$D68,0)),0)</f>
        <v>0</v>
      </c>
      <c r="N83" s="4328">
        <f>IF(M83&gt;0,(M83*1.0575+PMT(0.0575,20,'Capital Projects and FR'!$D68,0)),0)</f>
        <v>0</v>
      </c>
      <c r="O83" s="4328">
        <f>IF(N83&gt;0,(N83*1.0575+PMT(0.0575,20,'Capital Projects and FR'!$D68,0)),0)</f>
        <v>0</v>
      </c>
      <c r="P83" s="4328">
        <f>IF(O83&gt;0,(O83*1.0575+PMT(0.0575,20,'Capital Projects and FR'!$D68,0)),0)</f>
        <v>0</v>
      </c>
      <c r="Q83" s="4328">
        <f>IF(P83&gt;0,(P83*1.0575+PMT(0.0575,20,'Capital Projects and FR'!$D68,0)),0)</f>
        <v>0</v>
      </c>
      <c r="R83" s="4328">
        <f>IF(Q83&gt;0,(Q83*1.0575+PMT(0.0575,20,'Capital Projects and FR'!$D68,0)),0)</f>
        <v>0</v>
      </c>
      <c r="S83" s="4328">
        <f>IF(R83&gt;0,(R83*1.0575+PMT(0.0575,20,'Capital Projects and FR'!$D68,0)),0)</f>
        <v>0</v>
      </c>
      <c r="T83" s="4328">
        <f>IF(S83&gt;0,(S83*1.0575+PMT(0.0575,20,'Capital Projects and FR'!$D68,0)),0)</f>
        <v>0</v>
      </c>
      <c r="U83" s="4328">
        <f>IF(T83&gt;0,(T83*1.0575+PMT(0.0575,20,'Capital Projects and FR'!$D68,0)),0)</f>
        <v>0</v>
      </c>
      <c r="V83" s="4328">
        <f>IF(U83&gt;0,(U83*1.0575+PMT(0.0575,20,'Capital Projects and FR'!$D68,0)),0)</f>
        <v>0</v>
      </c>
      <c r="W83" s="4328">
        <f>IF(V83&gt;0,(V83*1.0575+PMT(0.0575,20,'Capital Projects and FR'!$D68,0)),0)</f>
        <v>0</v>
      </c>
      <c r="X83" s="4328">
        <f>IF(W83&gt;0,(W83*1.0575+PMT(0.0575,20,'Capital Projects and FR'!$D68,0)),0)</f>
        <v>0</v>
      </c>
      <c r="Y83" s="4328">
        <f>IF(X83&gt;0,(X83*1.0575+PMT(0.0575,20,'Capital Projects and FR'!$D68,0)),0)</f>
        <v>0</v>
      </c>
      <c r="Z83" s="4328">
        <f>IF(Y83&gt;0,(Y83*1.0575+PMT(0.0575,20,'Capital Projects and FR'!$D68,0)),0)</f>
        <v>0</v>
      </c>
      <c r="AA83" s="4328">
        <f>IF(Z83&gt;0,(Z83*1.0575+PMT(0.0575,20,'Capital Projects and FR'!$D68,0)),0)</f>
        <v>0</v>
      </c>
    </row>
    <row r="84" spans="1:27" s="3261" customFormat="1">
      <c r="B84" s="3261" t="s">
        <v>615</v>
      </c>
      <c r="C84" s="4363">
        <f>SUM(C77:C83)</f>
        <v>157351348</v>
      </c>
      <c r="D84" s="4363">
        <f t="shared" ref="D84:AA84" si="34">SUM(D77:D83)</f>
        <v>145739976</v>
      </c>
      <c r="E84" s="4363">
        <f t="shared" si="34"/>
        <v>136745497</v>
      </c>
      <c r="F84" s="4363">
        <f t="shared" si="34"/>
        <v>147722501.52472785</v>
      </c>
      <c r="G84" s="4363">
        <f t="shared" si="34"/>
        <v>137017567.42462757</v>
      </c>
      <c r="H84" s="4363">
        <f t="shared" si="34"/>
        <v>125794307.9362715</v>
      </c>
      <c r="I84" s="4363">
        <f t="shared" si="34"/>
        <v>114097674.81733496</v>
      </c>
      <c r="J84" s="4363">
        <f t="shared" si="34"/>
        <v>101614225.93655959</v>
      </c>
      <c r="K84" s="4363">
        <f t="shared" si="34"/>
        <v>91114626.495139614</v>
      </c>
      <c r="L84" s="4363">
        <f t="shared" si="34"/>
        <v>81600135.858337998</v>
      </c>
      <c r="M84" s="4363">
        <f t="shared" si="34"/>
        <v>71624061.974920273</v>
      </c>
      <c r="N84" s="4363">
        <f t="shared" si="34"/>
        <v>62630882.360706046</v>
      </c>
      <c r="O84" s="4363">
        <f t="shared" si="34"/>
        <v>53131014.621174492</v>
      </c>
      <c r="P84" s="4363">
        <f t="shared" si="34"/>
        <v>43170379.486619882</v>
      </c>
      <c r="Q84" s="4363">
        <f t="shared" si="34"/>
        <v>32730770.331828378</v>
      </c>
      <c r="R84" s="4363">
        <f t="shared" si="34"/>
        <v>24123796.15063636</v>
      </c>
      <c r="S84" s="4363">
        <f t="shared" si="34"/>
        <v>15090870.954025803</v>
      </c>
      <c r="T84" s="4363">
        <f t="shared" si="34"/>
        <v>10933202.558610139</v>
      </c>
      <c r="U84" s="4363">
        <f t="shared" si="34"/>
        <v>7946780.7304580742</v>
      </c>
      <c r="V84" s="4363">
        <f t="shared" si="34"/>
        <v>4817364.6471872656</v>
      </c>
      <c r="W84" s="4363">
        <f t="shared" si="34"/>
        <v>3300469.6391283851</v>
      </c>
      <c r="X84" s="4363">
        <f t="shared" si="34"/>
        <v>1696353.1681061184</v>
      </c>
      <c r="Y84" s="4363">
        <f t="shared" si="34"/>
        <v>7.1246176958084106E-8</v>
      </c>
      <c r="Z84" s="4363">
        <f t="shared" si="34"/>
        <v>0</v>
      </c>
      <c r="AA84" s="4363">
        <f t="shared" si="34"/>
        <v>0</v>
      </c>
    </row>
    <row r="85" spans="1:27">
      <c r="A85" s="4367"/>
      <c r="B85" s="3386"/>
      <c r="C85" s="3386"/>
      <c r="D85" s="3386"/>
      <c r="E85" s="3386"/>
      <c r="F85" s="3386"/>
      <c r="G85" s="3386"/>
      <c r="H85" s="3386"/>
      <c r="I85" s="3386"/>
      <c r="J85" s="3386"/>
      <c r="K85" s="3386"/>
      <c r="L85" s="3386"/>
      <c r="M85" s="3386"/>
      <c r="N85" s="3386"/>
      <c r="O85" s="3386"/>
      <c r="P85" s="3386"/>
      <c r="Q85" s="3386"/>
      <c r="R85" s="3386"/>
      <c r="S85" s="3386"/>
      <c r="T85" s="3386"/>
      <c r="U85" s="3386"/>
      <c r="V85" s="3386"/>
      <c r="W85" s="3386"/>
      <c r="X85" s="3386"/>
      <c r="Y85" s="3386"/>
      <c r="Z85" s="4368"/>
      <c r="AA85" s="4368"/>
    </row>
    <row r="86" spans="1:27">
      <c r="A86" s="3261" t="s">
        <v>265</v>
      </c>
    </row>
    <row r="87" spans="1:27" s="4364" customFormat="1">
      <c r="B87" s="4364" t="s">
        <v>637</v>
      </c>
      <c r="C87" s="4365">
        <v>7841573</v>
      </c>
      <c r="D87" s="4365">
        <v>7069102</v>
      </c>
      <c r="E87" s="4365">
        <v>6274939.54</v>
      </c>
      <c r="F87" s="4365">
        <v>5453733</v>
      </c>
      <c r="G87" s="4365">
        <v>4453593</v>
      </c>
      <c r="H87" s="4365">
        <v>3403538</v>
      </c>
      <c r="I87" s="4365">
        <v>2300143</v>
      </c>
      <c r="J87" s="4365">
        <v>1329591</v>
      </c>
      <c r="K87" s="4365">
        <v>807828</v>
      </c>
      <c r="L87" s="4365">
        <v>414183</v>
      </c>
      <c r="M87" s="4365">
        <v>0</v>
      </c>
      <c r="N87" s="4365">
        <v>0</v>
      </c>
      <c r="O87" s="4365">
        <v>0</v>
      </c>
      <c r="P87" s="4365">
        <v>0</v>
      </c>
      <c r="Q87" s="4365">
        <v>0</v>
      </c>
      <c r="R87" s="4365">
        <v>0</v>
      </c>
      <c r="S87" s="4365">
        <v>0</v>
      </c>
      <c r="T87" s="4365">
        <v>0</v>
      </c>
      <c r="U87" s="4365">
        <v>0</v>
      </c>
      <c r="V87" s="4365">
        <v>0</v>
      </c>
      <c r="W87" s="4365">
        <v>0</v>
      </c>
      <c r="X87" s="4365">
        <v>0</v>
      </c>
      <c r="Y87" s="4365">
        <v>0</v>
      </c>
      <c r="Z87" s="4365">
        <v>0</v>
      </c>
      <c r="AA87" s="4365">
        <v>0</v>
      </c>
    </row>
    <row r="88" spans="1:27">
      <c r="B88" s="3265" t="str">
        <f>'Capital Projects and FR'!A63</f>
        <v>IU Regional Campus wide Projects</v>
      </c>
      <c r="C88" s="4328"/>
      <c r="D88" s="4328"/>
      <c r="E88" s="4328"/>
      <c r="F88" s="4328"/>
      <c r="G88" s="4328">
        <f>IF('Capital Projects and FR'!$F63&gt;0,('Capital Projects and FR'!N65*1.0575+(PMT(0.0575,20,'Capital Projects and FR'!N65,0))),0)</f>
        <v>0</v>
      </c>
      <c r="H88" s="4328">
        <f>IF(G88&gt;0,(G88*1.0575+PMT(0.0575,20,'Capital Projects and FR'!$N65,0)),0)</f>
        <v>0</v>
      </c>
      <c r="I88" s="4328">
        <f>IF(H88&gt;0,(H88*1.0575+PMT(0.0575,20,'Capital Projects and FR'!$N65,0)),0)</f>
        <v>0</v>
      </c>
      <c r="J88" s="4328">
        <f>IF(I88&gt;0,(I88*1.0575+PMT(0.0575,20,'Capital Projects and FR'!$N65,0)),0)</f>
        <v>0</v>
      </c>
      <c r="K88" s="4328">
        <f>IF(J88&gt;0,(J88*1.0575+PMT(0.0575,20,'Capital Projects and FR'!$N65,0)),0)</f>
        <v>0</v>
      </c>
      <c r="L88" s="4328">
        <f>IF(K88&gt;0,(K88*1.0575+PMT(0.0575,20,'Capital Projects and FR'!$N65,0)),0)</f>
        <v>0</v>
      </c>
      <c r="M88" s="4328">
        <f>IF(L88&gt;0,(L88*1.0575+PMT(0.0575,20,'Capital Projects and FR'!$N65,0)),0)</f>
        <v>0</v>
      </c>
      <c r="N88" s="4328">
        <f>IF(M88&gt;0,(M88*1.0575+PMT(0.0575,20,'Capital Projects and FR'!$N65,0)),0)</f>
        <v>0</v>
      </c>
      <c r="O88" s="4328">
        <f>IF(N88&gt;0,(N88*1.0575+PMT(0.0575,20,'Capital Projects and FR'!$N65,0)),0)</f>
        <v>0</v>
      </c>
      <c r="P88" s="4328">
        <f>IF(O88&gt;0,(O88*1.0575+PMT(0.0575,20,'Capital Projects and FR'!$N65,0)),0)</f>
        <v>0</v>
      </c>
      <c r="Q88" s="4328">
        <f>IF(P88&gt;0,(P88*1.0575+PMT(0.0575,20,'Capital Projects and FR'!$N65,0)),0)</f>
        <v>0</v>
      </c>
      <c r="R88" s="4328">
        <f>IF(Q88&gt;0,(Q88*1.0575+PMT(0.0575,20,'Capital Projects and FR'!$N65,0)),0)</f>
        <v>0</v>
      </c>
      <c r="S88" s="4328">
        <f>IF(R88&gt;0,(R88*1.0575+PMT(0.0575,20,'Capital Projects and FR'!$N65,0)),0)</f>
        <v>0</v>
      </c>
      <c r="T88" s="4328">
        <f>IF(S88&gt;0,(S88*1.0575+PMT(0.0575,20,'Capital Projects and FR'!$N65,0)),0)</f>
        <v>0</v>
      </c>
      <c r="U88" s="4328">
        <f>IF(T88&gt;0,(T88*1.0575+PMT(0.0575,20,'Capital Projects and FR'!$N65,0)),0)</f>
        <v>0</v>
      </c>
      <c r="V88" s="4328">
        <f>IF(U88&gt;0,(U88*1.0575+PMT(0.0575,20,'Capital Projects and FR'!$N65,0)),0)</f>
        <v>0</v>
      </c>
      <c r="W88" s="4328">
        <f>IF(V88&gt;0,(V88*1.0575+PMT(0.0575,20,'Capital Projects and FR'!$N65,0)),0)</f>
        <v>0</v>
      </c>
      <c r="X88" s="4328">
        <f>IF(W88&gt;0,(W88*1.0575+PMT(0.0575,20,'Capital Projects and FR'!$N65,0)),0)</f>
        <v>0</v>
      </c>
      <c r="Y88" s="4328">
        <f>IF(X88&gt;0,(X88*1.0575+PMT(0.0575,20,'Capital Projects and FR'!$N65,0)),0)</f>
        <v>0</v>
      </c>
      <c r="Z88" s="4328">
        <v>0</v>
      </c>
      <c r="AA88" s="4328">
        <v>0</v>
      </c>
    </row>
    <row r="89" spans="1:27" s="3261" customFormat="1">
      <c r="B89" s="3261" t="s">
        <v>615</v>
      </c>
      <c r="C89" s="4363">
        <f t="shared" ref="C89:AA89" si="35">SUM(C87:C88)</f>
        <v>7841573</v>
      </c>
      <c r="D89" s="4363">
        <f t="shared" si="35"/>
        <v>7069102</v>
      </c>
      <c r="E89" s="4363">
        <f t="shared" si="35"/>
        <v>6274939.54</v>
      </c>
      <c r="F89" s="4363">
        <f t="shared" si="35"/>
        <v>5453733</v>
      </c>
      <c r="G89" s="4363">
        <f t="shared" si="35"/>
        <v>4453593</v>
      </c>
      <c r="H89" s="4363">
        <f t="shared" si="35"/>
        <v>3403538</v>
      </c>
      <c r="I89" s="4363">
        <f t="shared" si="35"/>
        <v>2300143</v>
      </c>
      <c r="J89" s="4363">
        <f t="shared" si="35"/>
        <v>1329591</v>
      </c>
      <c r="K89" s="4363">
        <f t="shared" si="35"/>
        <v>807828</v>
      </c>
      <c r="L89" s="4363">
        <f t="shared" si="35"/>
        <v>414183</v>
      </c>
      <c r="M89" s="4363">
        <f t="shared" si="35"/>
        <v>0</v>
      </c>
      <c r="N89" s="4363">
        <f t="shared" si="35"/>
        <v>0</v>
      </c>
      <c r="O89" s="4363">
        <f t="shared" si="35"/>
        <v>0</v>
      </c>
      <c r="P89" s="4363">
        <f t="shared" si="35"/>
        <v>0</v>
      </c>
      <c r="Q89" s="4363">
        <f t="shared" si="35"/>
        <v>0</v>
      </c>
      <c r="R89" s="4363">
        <f t="shared" si="35"/>
        <v>0</v>
      </c>
      <c r="S89" s="4363">
        <f t="shared" si="35"/>
        <v>0</v>
      </c>
      <c r="T89" s="4363">
        <f t="shared" si="35"/>
        <v>0</v>
      </c>
      <c r="U89" s="4363">
        <f t="shared" si="35"/>
        <v>0</v>
      </c>
      <c r="V89" s="4363">
        <f t="shared" si="35"/>
        <v>0</v>
      </c>
      <c r="W89" s="4363">
        <f t="shared" si="35"/>
        <v>0</v>
      </c>
      <c r="X89" s="4363">
        <f t="shared" si="35"/>
        <v>0</v>
      </c>
      <c r="Y89" s="4363">
        <f t="shared" si="35"/>
        <v>0</v>
      </c>
      <c r="Z89" s="4363">
        <f t="shared" si="35"/>
        <v>0</v>
      </c>
      <c r="AA89" s="4363">
        <f t="shared" si="35"/>
        <v>0</v>
      </c>
    </row>
    <row r="90" spans="1:27">
      <c r="A90" s="4367"/>
      <c r="B90" s="3386"/>
      <c r="C90" s="3386"/>
      <c r="D90" s="3386"/>
      <c r="E90" s="3386"/>
      <c r="F90" s="3386"/>
      <c r="G90" s="3386"/>
      <c r="H90" s="3386"/>
      <c r="I90" s="3386"/>
      <c r="J90" s="3386"/>
      <c r="K90" s="3386"/>
      <c r="L90" s="3386"/>
      <c r="M90" s="3386"/>
      <c r="N90" s="3386"/>
      <c r="O90" s="3386"/>
      <c r="P90" s="3386"/>
      <c r="Q90" s="3386"/>
      <c r="R90" s="3386"/>
      <c r="S90" s="3386"/>
      <c r="T90" s="3386"/>
      <c r="U90" s="3386"/>
      <c r="V90" s="3386"/>
      <c r="W90" s="3386"/>
      <c r="X90" s="3386"/>
      <c r="Y90" s="3386"/>
      <c r="Z90" s="4368"/>
      <c r="AA90" s="4368"/>
    </row>
    <row r="91" spans="1:27">
      <c r="A91" s="3261" t="s">
        <v>264</v>
      </c>
    </row>
    <row r="92" spans="1:27" s="4364" customFormat="1">
      <c r="B92" s="4364" t="s">
        <v>637</v>
      </c>
      <c r="C92" s="4365">
        <v>12184220</v>
      </c>
      <c r="D92" s="4365">
        <v>10724558</v>
      </c>
      <c r="E92" s="4365">
        <v>9920559</v>
      </c>
      <c r="F92" s="4365">
        <v>8998561</v>
      </c>
      <c r="G92" s="4365">
        <v>7835949</v>
      </c>
      <c r="H92" s="4365">
        <v>6616562</v>
      </c>
      <c r="I92" s="4365">
        <v>5340914</v>
      </c>
      <c r="J92" s="4365">
        <v>4379050</v>
      </c>
      <c r="K92" s="4365">
        <v>2849811</v>
      </c>
      <c r="L92" s="4365">
        <v>1459704</v>
      </c>
      <c r="M92" s="4365">
        <v>0</v>
      </c>
      <c r="N92" s="4365">
        <v>0</v>
      </c>
      <c r="O92" s="4365">
        <v>0</v>
      </c>
      <c r="P92" s="4365">
        <v>0</v>
      </c>
      <c r="Q92" s="4365">
        <v>0</v>
      </c>
      <c r="R92" s="4365">
        <v>0</v>
      </c>
      <c r="S92" s="4365">
        <v>0</v>
      </c>
      <c r="T92" s="4365">
        <v>0</v>
      </c>
      <c r="U92" s="4365">
        <v>0</v>
      </c>
      <c r="V92" s="4365">
        <v>0</v>
      </c>
      <c r="W92" s="4365">
        <v>0</v>
      </c>
      <c r="X92" s="4365">
        <v>0</v>
      </c>
      <c r="Y92" s="4365">
        <v>0</v>
      </c>
      <c r="Z92" s="4365">
        <v>0</v>
      </c>
      <c r="AA92" s="4365">
        <v>0</v>
      </c>
    </row>
    <row r="93" spans="1:27">
      <c r="B93" s="3265" t="str">
        <f>'Capital Projects and FR'!A63</f>
        <v>IU Regional Campus wide Projects</v>
      </c>
      <c r="C93" s="4328"/>
      <c r="D93" s="4328"/>
      <c r="E93" s="4328"/>
      <c r="F93" s="4328"/>
      <c r="G93" s="4328">
        <f>IF('Capital Projects and FR'!$F63&gt;0,('Capital Projects and FR'!N66*1.0575+(PMT(0.0575,20,'Capital Projects and FR'!N66,0))),0)</f>
        <v>0</v>
      </c>
      <c r="H93" s="4328">
        <f>IF(G93&gt;0,(G93*1.0575+PMT(0.0575,20,'Capital Projects and FR'!$N66,0)),0)</f>
        <v>0</v>
      </c>
      <c r="I93" s="4328">
        <f>IF(H93&gt;0,(H93*1.0575+PMT(0.0575,20,'Capital Projects and FR'!$N66,0)),0)</f>
        <v>0</v>
      </c>
      <c r="J93" s="4328">
        <f>IF(I93&gt;0,(I93*1.0575+PMT(0.0575,20,'Capital Projects and FR'!$N66,0)),0)</f>
        <v>0</v>
      </c>
      <c r="K93" s="4328">
        <f>IF(J93&gt;0,(J93*1.0575+PMT(0.0575,20,'Capital Projects and FR'!$N66,0)),0)</f>
        <v>0</v>
      </c>
      <c r="L93" s="4328">
        <f>IF(K93&gt;0,(K93*1.0575+PMT(0.0575,20,'Capital Projects and FR'!$N66,0)),0)</f>
        <v>0</v>
      </c>
      <c r="M93" s="4328">
        <f>IF(L93&gt;0,(L93*1.0575+PMT(0.0575,20,'Capital Projects and FR'!$N66,0)),0)</f>
        <v>0</v>
      </c>
      <c r="N93" s="4328">
        <f>IF(M93&gt;0,(M93*1.0575+PMT(0.0575,20,'Capital Projects and FR'!$N66,0)),0)</f>
        <v>0</v>
      </c>
      <c r="O93" s="4328">
        <f>IF(N93&gt;0,(N93*1.0575+PMT(0.0575,20,'Capital Projects and FR'!$N66,0)),0)</f>
        <v>0</v>
      </c>
      <c r="P93" s="4328">
        <f>IF(O93&gt;0,(O93*1.0575+PMT(0.0575,20,'Capital Projects and FR'!$N66,0)),0)</f>
        <v>0</v>
      </c>
      <c r="Q93" s="4328">
        <f>IF(P93&gt;0,(P93*1.0575+PMT(0.0575,20,'Capital Projects and FR'!$N66,0)),0)</f>
        <v>0</v>
      </c>
      <c r="R93" s="4328">
        <f>IF(Q93&gt;0,(Q93*1.0575+PMT(0.0575,20,'Capital Projects and FR'!$N66,0)),0)</f>
        <v>0</v>
      </c>
      <c r="S93" s="4328">
        <f>IF(R93&gt;0,(R93*1.0575+PMT(0.0575,20,'Capital Projects and FR'!$N66,0)),0)</f>
        <v>0</v>
      </c>
      <c r="T93" s="4328">
        <f>IF(S93&gt;0,(S93*1.0575+PMT(0.0575,20,'Capital Projects and FR'!$N66,0)),0)</f>
        <v>0</v>
      </c>
      <c r="U93" s="4328">
        <f>IF(T93&gt;0,(T93*1.0575+PMT(0.0575,20,'Capital Projects and FR'!$N66,0)),0)</f>
        <v>0</v>
      </c>
      <c r="V93" s="4328">
        <f>IF(U93&gt;0,(U93*1.0575+PMT(0.0575,20,'Capital Projects and FR'!$N66,0)),0)</f>
        <v>0</v>
      </c>
      <c r="W93" s="4328">
        <f>IF(V93&gt;0,(V93*1.0575+PMT(0.0575,20,'Capital Projects and FR'!$N66,0)),0)</f>
        <v>0</v>
      </c>
      <c r="X93" s="4328">
        <f>IF(W93&gt;0,(W93*1.0575+PMT(0.0575,20,'Capital Projects and FR'!$N66,0)),0)</f>
        <v>0</v>
      </c>
      <c r="Y93" s="4328">
        <f>IF(X93&gt;0,(X93*1.0575+PMT(0.0575,20,'Capital Projects and FR'!$N66,0)),0)</f>
        <v>0</v>
      </c>
      <c r="Z93" s="4328">
        <f>IF(Y93&gt;0,(Y93*1.0575+PMT(0.0575,20,'Capital Projects and FR'!$N66,0)),0)</f>
        <v>0</v>
      </c>
      <c r="AA93" s="4328">
        <v>0</v>
      </c>
    </row>
    <row r="94" spans="1:27" s="3261" customFormat="1">
      <c r="B94" s="3261" t="s">
        <v>615</v>
      </c>
      <c r="C94" s="4363">
        <f t="shared" ref="C94:AA94" si="36">SUM(C92:C93)</f>
        <v>12184220</v>
      </c>
      <c r="D94" s="4363">
        <f t="shared" si="36"/>
        <v>10724558</v>
      </c>
      <c r="E94" s="4363">
        <f t="shared" si="36"/>
        <v>9920559</v>
      </c>
      <c r="F94" s="4363">
        <f t="shared" si="36"/>
        <v>8998561</v>
      </c>
      <c r="G94" s="4363">
        <f t="shared" si="36"/>
        <v>7835949</v>
      </c>
      <c r="H94" s="4363">
        <f t="shared" si="36"/>
        <v>6616562</v>
      </c>
      <c r="I94" s="4363">
        <f t="shared" si="36"/>
        <v>5340914</v>
      </c>
      <c r="J94" s="4363">
        <f t="shared" si="36"/>
        <v>4379050</v>
      </c>
      <c r="K94" s="4363">
        <f t="shared" si="36"/>
        <v>2849811</v>
      </c>
      <c r="L94" s="4363">
        <f t="shared" si="36"/>
        <v>1459704</v>
      </c>
      <c r="M94" s="4363">
        <f t="shared" si="36"/>
        <v>0</v>
      </c>
      <c r="N94" s="4363">
        <f t="shared" si="36"/>
        <v>0</v>
      </c>
      <c r="O94" s="4363">
        <f t="shared" si="36"/>
        <v>0</v>
      </c>
      <c r="P94" s="4363">
        <f t="shared" si="36"/>
        <v>0</v>
      </c>
      <c r="Q94" s="4363">
        <f t="shared" si="36"/>
        <v>0</v>
      </c>
      <c r="R94" s="4363">
        <f t="shared" si="36"/>
        <v>0</v>
      </c>
      <c r="S94" s="4363">
        <f t="shared" si="36"/>
        <v>0</v>
      </c>
      <c r="T94" s="4363">
        <f t="shared" si="36"/>
        <v>0</v>
      </c>
      <c r="U94" s="4363">
        <f t="shared" si="36"/>
        <v>0</v>
      </c>
      <c r="V94" s="4363">
        <f t="shared" si="36"/>
        <v>0</v>
      </c>
      <c r="W94" s="4363">
        <f t="shared" si="36"/>
        <v>0</v>
      </c>
      <c r="X94" s="4363">
        <f t="shared" si="36"/>
        <v>0</v>
      </c>
      <c r="Y94" s="4363">
        <f t="shared" si="36"/>
        <v>0</v>
      </c>
      <c r="Z94" s="4363">
        <f t="shared" si="36"/>
        <v>0</v>
      </c>
      <c r="AA94" s="4363">
        <f t="shared" si="36"/>
        <v>0</v>
      </c>
    </row>
    <row r="95" spans="1:27">
      <c r="A95" s="4367"/>
      <c r="B95" s="3386"/>
      <c r="C95" s="3386"/>
      <c r="D95" s="3386"/>
      <c r="E95" s="3386"/>
      <c r="F95" s="3386"/>
      <c r="G95" s="3386"/>
      <c r="H95" s="3386"/>
      <c r="I95" s="3386"/>
      <c r="J95" s="3386"/>
      <c r="K95" s="3386"/>
      <c r="L95" s="3386"/>
      <c r="M95" s="3386"/>
      <c r="N95" s="3386"/>
      <c r="O95" s="3386"/>
      <c r="P95" s="3386"/>
      <c r="Q95" s="3386"/>
      <c r="R95" s="3386"/>
      <c r="S95" s="3386"/>
      <c r="T95" s="3386"/>
      <c r="U95" s="3386"/>
      <c r="V95" s="3386"/>
      <c r="W95" s="3386"/>
      <c r="X95" s="3386"/>
      <c r="Y95" s="3386"/>
      <c r="Z95" s="4368"/>
      <c r="AA95" s="4368"/>
    </row>
    <row r="96" spans="1:27">
      <c r="A96" s="3261" t="s">
        <v>266</v>
      </c>
    </row>
    <row r="97" spans="1:27" s="4364" customFormat="1">
      <c r="B97" s="4364" t="s">
        <v>637</v>
      </c>
      <c r="C97" s="4365">
        <v>23032499</v>
      </c>
      <c r="D97" s="4365">
        <v>21160076</v>
      </c>
      <c r="E97" s="4365">
        <v>19436646</v>
      </c>
      <c r="F97" s="4365">
        <v>17623175</v>
      </c>
      <c r="G97" s="4365">
        <v>15255832</v>
      </c>
      <c r="H97" s="4365">
        <v>12760908</v>
      </c>
      <c r="I97" s="4365">
        <v>10134622</v>
      </c>
      <c r="J97" s="4365">
        <v>7698037</v>
      </c>
      <c r="K97" s="4365">
        <v>5813426</v>
      </c>
      <c r="L97" s="4365">
        <v>4107106</v>
      </c>
      <c r="M97" s="4365">
        <v>2310470</v>
      </c>
      <c r="N97" s="4365">
        <v>1183570</v>
      </c>
      <c r="O97" s="4365">
        <v>0</v>
      </c>
      <c r="P97" s="4365">
        <v>0</v>
      </c>
      <c r="Q97" s="4365">
        <v>0</v>
      </c>
      <c r="R97" s="4365">
        <v>0</v>
      </c>
      <c r="S97" s="4365">
        <v>0</v>
      </c>
      <c r="T97" s="4365">
        <v>0</v>
      </c>
      <c r="U97" s="4365">
        <v>0</v>
      </c>
      <c r="V97" s="4365">
        <v>0</v>
      </c>
      <c r="W97" s="4365">
        <v>0</v>
      </c>
      <c r="X97" s="4365">
        <v>0</v>
      </c>
      <c r="Y97" s="4365">
        <v>0</v>
      </c>
      <c r="Z97" s="4365">
        <v>0</v>
      </c>
      <c r="AA97" s="4365">
        <v>0</v>
      </c>
    </row>
    <row r="98" spans="1:27" s="4364" customFormat="1">
      <c r="B98" s="3265" t="str">
        <f>'Capital Projects and FR'!A35</f>
        <v>IUN Tamarck Hall Replacement</v>
      </c>
      <c r="C98" s="4365"/>
      <c r="D98" s="4365"/>
      <c r="E98" s="4365"/>
      <c r="F98" s="4328">
        <f>IF('Capital Projects and FR'!$E35&gt;0,('Capital Projects and FR'!D35*1.0575+(PMT(0.0575,20,'Capital Projects and FR'!D35,0))),0)</f>
        <v>43743442.552988261</v>
      </c>
      <c r="G98" s="4328">
        <f>IF(F98&gt;0,(F98*1.0575+PMT(0.0575,20,'Capital Projects and FR'!$D35,0)),0)</f>
        <v>42414633.052773342</v>
      </c>
      <c r="H98" s="4328">
        <f>IF(G98&gt;0,(G98*1.0575+PMT(0.0575,20,'Capital Projects and FR'!$D35,0)),0)</f>
        <v>41009417.006296068</v>
      </c>
      <c r="I98" s="4328">
        <f>IF(H98&gt;0,(H98*1.0575+PMT(0.0575,20,'Capital Projects and FR'!$D35,0)),0)</f>
        <v>39523401.037146352</v>
      </c>
      <c r="J98" s="4328">
        <f>IF(I98&gt;0,(I98*1.0575+PMT(0.0575,20,'Capital Projects and FR'!$D35,0)),0)</f>
        <v>37951939.149770528</v>
      </c>
      <c r="K98" s="4328">
        <f>IF(J98&gt;0,(J98*1.0575+PMT(0.0575,20,'Capital Projects and FR'!$D35,0)),0)</f>
        <v>36290118.203870595</v>
      </c>
      <c r="L98" s="4328">
        <f>IF(K98&gt;0,(K98*1.0575+PMT(0.0575,20,'Capital Projects and FR'!$D35,0)),0)</f>
        <v>34532742.553581409</v>
      </c>
      <c r="M98" s="4328">
        <f>IF(L98&gt;0,(L98*1.0575+PMT(0.0575,20,'Capital Projects and FR'!$D35,0)),0)</f>
        <v>32674317.803400598</v>
      </c>
      <c r="N98" s="4328">
        <f>IF(M98&gt;0,(M98*1.0575+PMT(0.0575,20,'Capital Projects and FR'!$D35,0)),0)</f>
        <v>30709033.630084388</v>
      </c>
      <c r="O98" s="4328">
        <f>IF(N98&gt;0,(N98*1.0575+PMT(0.0575,20,'Capital Projects and FR'!$D35,0)),0)</f>
        <v>28630745.616802499</v>
      </c>
      <c r="P98" s="4328">
        <f>IF(O98&gt;0,(O98*1.0575+PMT(0.0575,20,'Capital Projects and FR'!$D35,0)),0)</f>
        <v>26432956.0427569</v>
      </c>
      <c r="Q98" s="4328">
        <f>IF(P98&gt;0,(P98*1.0575+PMT(0.0575,20,'Capital Projects and FR'!$D35,0)),0)</f>
        <v>24108793.568203673</v>
      </c>
      <c r="R98" s="4328">
        <f>IF(Q98&gt;0,(Q98*1.0575+PMT(0.0575,20,'Capital Projects and FR'!$D35,0)),0)</f>
        <v>21650991.751363635</v>
      </c>
      <c r="S98" s="4328">
        <f>IF(R98&gt;0,(R98*1.0575+PMT(0.0575,20,'Capital Projects and FR'!$D35,0)),0)</f>
        <v>19051866.330055296</v>
      </c>
      <c r="T98" s="4328">
        <f>IF(S98&gt;0,(S98*1.0575+PMT(0.0575,20,'Capital Projects and FR'!$D35,0)),0)</f>
        <v>16303291.197021728</v>
      </c>
      <c r="U98" s="4328">
        <f>IF(T98&gt;0,(T98*1.0575+PMT(0.0575,20,'Capital Projects and FR'!$D35,0)),0)</f>
        <v>13396672.993838729</v>
      </c>
      <c r="V98" s="4328">
        <f>IF(U98&gt;0,(U98*1.0575+PMT(0.0575,20,'Capital Projects and FR'!$D35,0)),0)</f>
        <v>10322924.243972709</v>
      </c>
      <c r="W98" s="4328">
        <f>IF(V98&gt;0,(V98*1.0575+PMT(0.0575,20,'Capital Projects and FR'!$D35,0)),0)</f>
        <v>7072434.9409893937</v>
      </c>
      <c r="X98" s="4328">
        <f>IF(W98&gt;0,(W98*1.0575+PMT(0.0575,20,'Capital Projects and FR'!$D35,0)),0)</f>
        <v>3635042.5030845366</v>
      </c>
      <c r="Y98" s="4328">
        <f>IF(X98&gt;0,(X98*1.0575+PMT(0.0575,20,'Capital Projects and FR'!$D35,0)),0)</f>
        <v>1.494772732257843E-7</v>
      </c>
      <c r="Z98" s="4328">
        <v>0</v>
      </c>
      <c r="AA98" s="4365"/>
    </row>
    <row r="99" spans="1:27">
      <c r="B99" s="3265" t="str">
        <f>'Capital Projects and FR'!A63</f>
        <v>IU Regional Campus wide Projects</v>
      </c>
      <c r="C99" s="4328"/>
      <c r="D99" s="4328"/>
      <c r="E99" s="4328"/>
      <c r="F99" s="4328"/>
      <c r="G99" s="4328">
        <f>IF('Capital Projects and FR'!$F63&gt;0,('Capital Projects and FR'!N67*1.0575+(PMT(0.0575,20,'Capital Projects and FR'!N67,0))),0)</f>
        <v>0</v>
      </c>
      <c r="H99" s="4328">
        <f>IF(G99&gt;0,(G99*1.0575+PMT(0.0575,20,'Capital Projects and FR'!$N67,0)),0)</f>
        <v>0</v>
      </c>
      <c r="I99" s="4328">
        <f>IF(H99&gt;0,(H99*1.0575+PMT(0.0575,20,'Capital Projects and FR'!$N67,0)),0)</f>
        <v>0</v>
      </c>
      <c r="J99" s="4328">
        <f>IF(I99&gt;0,(I99*1.0575+PMT(0.0575,20,'Capital Projects and FR'!$N67,0)),0)</f>
        <v>0</v>
      </c>
      <c r="K99" s="4328">
        <f>IF(J99&gt;0,(J99*1.0575+PMT(0.0575,20,'Capital Projects and FR'!$N67,0)),0)</f>
        <v>0</v>
      </c>
      <c r="L99" s="4328">
        <f>IF(K99&gt;0,(K99*1.0575+PMT(0.0575,20,'Capital Projects and FR'!$N67,0)),0)</f>
        <v>0</v>
      </c>
      <c r="M99" s="4328">
        <f>IF(L99&gt;0,(L99*1.0575+PMT(0.0575,20,'Capital Projects and FR'!$N67,0)),0)</f>
        <v>0</v>
      </c>
      <c r="N99" s="4328">
        <f>IF(M99&gt;0,(M99*1.0575+PMT(0.0575,20,'Capital Projects and FR'!$N67,0)),0)</f>
        <v>0</v>
      </c>
      <c r="O99" s="4328">
        <f>IF(N99&gt;0,(N99*1.0575+PMT(0.0575,20,'Capital Projects and FR'!$N67,0)),0)</f>
        <v>0</v>
      </c>
      <c r="P99" s="4328">
        <f>IF(O99&gt;0,(O99*1.0575+PMT(0.0575,20,'Capital Projects and FR'!$N67,0)),0)</f>
        <v>0</v>
      </c>
      <c r="Q99" s="4328">
        <f>IF(P99&gt;0,(P99*1.0575+PMT(0.0575,20,'Capital Projects and FR'!$N67,0)),0)</f>
        <v>0</v>
      </c>
      <c r="R99" s="4328">
        <f>IF(Q99&gt;0,(Q99*1.0575+PMT(0.0575,20,'Capital Projects and FR'!$N67,0)),0)</f>
        <v>0</v>
      </c>
      <c r="S99" s="4328">
        <f>IF(R99&gt;0,(R99*1.0575+PMT(0.0575,20,'Capital Projects and FR'!$N67,0)),0)</f>
        <v>0</v>
      </c>
      <c r="T99" s="4328">
        <f>IF(S99&gt;0,(S99*1.0575+PMT(0.0575,20,'Capital Projects and FR'!$N67,0)),0)</f>
        <v>0</v>
      </c>
      <c r="U99" s="4328">
        <f>IF(T99&gt;0,(T99*1.0575+PMT(0.0575,20,'Capital Projects and FR'!$N67,0)),0)</f>
        <v>0</v>
      </c>
      <c r="V99" s="4328">
        <f>IF(U99&gt;0,(U99*1.0575+PMT(0.0575,20,'Capital Projects and FR'!$N67,0)),0)</f>
        <v>0</v>
      </c>
      <c r="W99" s="4328">
        <f>IF(V99&gt;0,(V99*1.0575+PMT(0.0575,20,'Capital Projects and FR'!$N67,0)),0)</f>
        <v>0</v>
      </c>
      <c r="X99" s="4328">
        <f>IF(W99&gt;0,(W99*1.0575+PMT(0.0575,20,'Capital Projects and FR'!$N67,0)),0)</f>
        <v>0</v>
      </c>
      <c r="Y99" s="4328">
        <f>IF(X99&gt;0,(X99*1.0575+PMT(0.0575,20,'Capital Projects and FR'!$N67,0)),0)</f>
        <v>0</v>
      </c>
      <c r="Z99" s="4328">
        <f>IF(Y99&gt;0,(Y99*1.0575+PMT(0.0575,20,'Capital Projects and FR'!$N67,0)),0)</f>
        <v>0</v>
      </c>
      <c r="AA99" s="4328">
        <v>0</v>
      </c>
    </row>
    <row r="100" spans="1:27" s="3261" customFormat="1">
      <c r="B100" s="3261" t="s">
        <v>615</v>
      </c>
      <c r="C100" s="4363">
        <f t="shared" ref="C100:F100" si="37">SUM(C97:C99)</f>
        <v>23032499</v>
      </c>
      <c r="D100" s="4363">
        <f t="shared" si="37"/>
        <v>21160076</v>
      </c>
      <c r="E100" s="4363">
        <f t="shared" si="37"/>
        <v>19436646</v>
      </c>
      <c r="F100" s="4363">
        <f t="shared" si="37"/>
        <v>61366617.552988261</v>
      </c>
      <c r="G100" s="4363">
        <f>SUM(G97:G99)</f>
        <v>57670465.052773342</v>
      </c>
      <c r="H100" s="4363">
        <f t="shared" ref="H100:M100" si="38">SUM(H97:H99)</f>
        <v>53770325.006296068</v>
      </c>
      <c r="I100" s="4363">
        <f t="shared" si="38"/>
        <v>49658023.037146352</v>
      </c>
      <c r="J100" s="4363">
        <f t="shared" si="38"/>
        <v>45649976.149770528</v>
      </c>
      <c r="K100" s="4363">
        <f t="shared" si="38"/>
        <v>42103544.203870595</v>
      </c>
      <c r="L100" s="4363">
        <f t="shared" si="38"/>
        <v>38639848.553581409</v>
      </c>
      <c r="M100" s="4363">
        <f t="shared" si="38"/>
        <v>34984787.803400598</v>
      </c>
      <c r="N100" s="4363">
        <f>SUM(N97:N99)</f>
        <v>31892603.630084388</v>
      </c>
      <c r="O100" s="4363">
        <f t="shared" ref="O100:AA100" si="39">SUM(O97:O99)</f>
        <v>28630745.616802499</v>
      </c>
      <c r="P100" s="4363">
        <f t="shared" si="39"/>
        <v>26432956.0427569</v>
      </c>
      <c r="Q100" s="4363">
        <f t="shared" si="39"/>
        <v>24108793.568203673</v>
      </c>
      <c r="R100" s="4363">
        <f t="shared" si="39"/>
        <v>21650991.751363635</v>
      </c>
      <c r="S100" s="4363">
        <f t="shared" si="39"/>
        <v>19051866.330055296</v>
      </c>
      <c r="T100" s="4363">
        <f t="shared" si="39"/>
        <v>16303291.197021728</v>
      </c>
      <c r="U100" s="4363">
        <f t="shared" si="39"/>
        <v>13396672.993838729</v>
      </c>
      <c r="V100" s="4363">
        <f t="shared" si="39"/>
        <v>10322924.243972709</v>
      </c>
      <c r="W100" s="4363">
        <f t="shared" si="39"/>
        <v>7072434.9409893937</v>
      </c>
      <c r="X100" s="4363">
        <f t="shared" si="39"/>
        <v>3635042.5030845366</v>
      </c>
      <c r="Y100" s="4363">
        <f t="shared" si="39"/>
        <v>1.494772732257843E-7</v>
      </c>
      <c r="Z100" s="4363">
        <f t="shared" si="39"/>
        <v>0</v>
      </c>
      <c r="AA100" s="4363">
        <f t="shared" si="39"/>
        <v>0</v>
      </c>
    </row>
    <row r="101" spans="1:27">
      <c r="A101" s="4367"/>
      <c r="B101" s="3386"/>
      <c r="C101" s="3386"/>
      <c r="D101" s="3386"/>
      <c r="E101" s="3386"/>
      <c r="F101" s="3386"/>
      <c r="G101" s="3386"/>
      <c r="H101" s="3386"/>
      <c r="I101" s="3386"/>
      <c r="J101" s="3386"/>
      <c r="K101" s="3386"/>
      <c r="L101" s="3386"/>
      <c r="M101" s="3386"/>
      <c r="N101" s="3386"/>
      <c r="O101" s="3386"/>
      <c r="P101" s="3386"/>
      <c r="Q101" s="3386"/>
      <c r="R101" s="3386"/>
      <c r="S101" s="3386"/>
      <c r="T101" s="3386"/>
      <c r="U101" s="3386"/>
      <c r="V101" s="3386"/>
      <c r="W101" s="3386"/>
      <c r="X101" s="3386"/>
      <c r="Y101" s="3386"/>
      <c r="Z101" s="4368"/>
      <c r="AA101" s="4368"/>
    </row>
    <row r="102" spans="1:27">
      <c r="A102" s="3261" t="s">
        <v>267</v>
      </c>
    </row>
    <row r="103" spans="1:27" s="4364" customFormat="1">
      <c r="B103" s="4364" t="s">
        <v>637</v>
      </c>
      <c r="C103" s="4365">
        <v>38731441</v>
      </c>
      <c r="D103" s="4365">
        <v>36562562</v>
      </c>
      <c r="E103" s="4365">
        <v>34602884</v>
      </c>
      <c r="F103" s="4365">
        <v>32468273</v>
      </c>
      <c r="G103" s="4365">
        <v>29899271</v>
      </c>
      <c r="H103" s="4365">
        <v>27206183</v>
      </c>
      <c r="I103" s="4365">
        <v>24398842</v>
      </c>
      <c r="J103" s="4365">
        <v>22063727</v>
      </c>
      <c r="K103" s="4365">
        <v>18751213</v>
      </c>
      <c r="L103" s="4365">
        <v>15662410</v>
      </c>
      <c r="M103" s="4365">
        <v>12435000</v>
      </c>
      <c r="N103" s="4365">
        <v>11230000</v>
      </c>
      <c r="O103" s="4365">
        <v>9980000</v>
      </c>
      <c r="P103" s="4365">
        <v>8685000</v>
      </c>
      <c r="Q103" s="4365">
        <v>7345000</v>
      </c>
      <c r="R103" s="4365">
        <v>5950000</v>
      </c>
      <c r="S103" s="4365">
        <v>4500000</v>
      </c>
      <c r="T103" s="4365">
        <v>3085000</v>
      </c>
      <c r="U103" s="4365">
        <v>1615000</v>
      </c>
      <c r="V103" s="4365">
        <v>80000</v>
      </c>
      <c r="W103" s="4365">
        <v>40000</v>
      </c>
      <c r="X103" s="4365">
        <v>0</v>
      </c>
      <c r="Y103" s="4365">
        <v>0</v>
      </c>
      <c r="Z103" s="4365">
        <v>0</v>
      </c>
      <c r="AA103" s="4365">
        <v>0</v>
      </c>
    </row>
    <row r="104" spans="1:27">
      <c r="B104" s="3265" t="str">
        <f>'Capital Projects and FR'!A63</f>
        <v>IU Regional Campus wide Projects</v>
      </c>
      <c r="C104" s="4328"/>
      <c r="D104" s="4328"/>
      <c r="E104" s="4328"/>
      <c r="F104" s="4328"/>
      <c r="G104" s="4328">
        <f>IF('Capital Projects and FR'!$F63&gt;0,('Capital Projects and FR'!N69*1.0575+(PMT(0.0575,20,'Capital Projects and FR'!N69,0))),0)</f>
        <v>0</v>
      </c>
      <c r="H104" s="4328">
        <f>IF(G104&gt;0,(G104*1.0575+PMT(0.0575,20,'Capital Projects and FR'!$N69,0)),0)</f>
        <v>0</v>
      </c>
      <c r="I104" s="4328">
        <f>IF(H104&gt;0,(H104*1.0575+PMT(0.0575,20,'Capital Projects and FR'!$N69,0)),0)</f>
        <v>0</v>
      </c>
      <c r="J104" s="4328">
        <f>IF(I104&gt;0,(I104*1.0575+PMT(0.0575,20,'Capital Projects and FR'!$N69,0)),0)</f>
        <v>0</v>
      </c>
      <c r="K104" s="4328">
        <f>IF(J104&gt;0,(J104*1.0575+PMT(0.0575,20,'Capital Projects and FR'!$N69,0)),0)</f>
        <v>0</v>
      </c>
      <c r="L104" s="4328">
        <f>IF(K104&gt;0,(K104*1.0575+PMT(0.0575,20,'Capital Projects and FR'!$N69,0)),0)</f>
        <v>0</v>
      </c>
      <c r="M104" s="4328">
        <f>IF(L104&gt;0,(L104*1.0575+PMT(0.0575,20,'Capital Projects and FR'!$N69,0)),0)</f>
        <v>0</v>
      </c>
      <c r="N104" s="4328">
        <f>IF(M104&gt;0,(M104*1.0575+PMT(0.0575,20,'Capital Projects and FR'!$N69,0)),0)</f>
        <v>0</v>
      </c>
      <c r="O104" s="4328">
        <f>IF(N104&gt;0,(N104*1.0575+PMT(0.0575,20,'Capital Projects and FR'!$N69,0)),0)</f>
        <v>0</v>
      </c>
      <c r="P104" s="4328">
        <f>IF(O104&gt;0,(O104*1.0575+PMT(0.0575,20,'Capital Projects and FR'!$N69,0)),0)</f>
        <v>0</v>
      </c>
      <c r="Q104" s="4328">
        <f>IF(P104&gt;0,(P104*1.0575+PMT(0.0575,20,'Capital Projects and FR'!$N69,0)),0)</f>
        <v>0</v>
      </c>
      <c r="R104" s="4328">
        <f>IF(Q104&gt;0,(Q104*1.0575+PMT(0.0575,20,'Capital Projects and FR'!$N69,0)),0)</f>
        <v>0</v>
      </c>
      <c r="S104" s="4328">
        <f>IF(R104&gt;0,(R104*1.0575+PMT(0.0575,20,'Capital Projects and FR'!$N69,0)),0)</f>
        <v>0</v>
      </c>
      <c r="T104" s="4328">
        <f>IF(S104&gt;0,(S104*1.0575+PMT(0.0575,20,'Capital Projects and FR'!$N69,0)),0)</f>
        <v>0</v>
      </c>
      <c r="U104" s="4328">
        <f>IF(T104&gt;0,(T104*1.0575+PMT(0.0575,20,'Capital Projects and FR'!$N69,0)),0)</f>
        <v>0</v>
      </c>
      <c r="V104" s="4328">
        <f>IF(U104&gt;0,(U104*1.0575+PMT(0.0575,20,'Capital Projects and FR'!$N69,0)),0)</f>
        <v>0</v>
      </c>
      <c r="W104" s="4328">
        <f>IF(V104&gt;0,(V104*1.0575+PMT(0.0575,20,'Capital Projects and FR'!$N69,0)),0)</f>
        <v>0</v>
      </c>
      <c r="X104" s="4328">
        <f>IF(W104&gt;0,(W104*1.0575+PMT(0.0575,20,'Capital Projects and FR'!$N69,0)),0)</f>
        <v>0</v>
      </c>
      <c r="Y104" s="4328">
        <f>IF(X104&gt;0,(X104*1.0575+PMT(0.0575,20,'Capital Projects and FR'!$N69,0)),0)</f>
        <v>0</v>
      </c>
      <c r="Z104" s="4328">
        <f>IF(Y104&gt;0,(Y104*1.0575+PMT(0.0575,20,'Capital Projects and FR'!$N69,0)),0)</f>
        <v>0</v>
      </c>
      <c r="AA104" s="4328">
        <v>0</v>
      </c>
    </row>
    <row r="105" spans="1:27" s="3261" customFormat="1">
      <c r="B105" s="3261" t="s">
        <v>615</v>
      </c>
      <c r="C105" s="4363">
        <f t="shared" ref="C105:D105" si="40">SUM(C103:C104)</f>
        <v>38731441</v>
      </c>
      <c r="D105" s="4363">
        <f t="shared" si="40"/>
        <v>36562562</v>
      </c>
      <c r="E105" s="4363">
        <f t="shared" ref="E105" si="41">SUM(E103:E104)</f>
        <v>34602884</v>
      </c>
      <c r="F105" s="4363">
        <f t="shared" ref="F105" si="42">SUM(F103:F104)</f>
        <v>32468273</v>
      </c>
      <c r="G105" s="4363">
        <f t="shared" ref="G105" si="43">SUM(G103:G104)</f>
        <v>29899271</v>
      </c>
      <c r="H105" s="4363">
        <f t="shared" ref="H105" si="44">SUM(H103:H104)</f>
        <v>27206183</v>
      </c>
      <c r="I105" s="4363">
        <f t="shared" ref="I105" si="45">SUM(I103:I104)</f>
        <v>24398842</v>
      </c>
      <c r="J105" s="4363">
        <f t="shared" ref="J105" si="46">SUM(J103:J104)</f>
        <v>22063727</v>
      </c>
      <c r="K105" s="4363">
        <f t="shared" ref="K105" si="47">SUM(K103:K104)</f>
        <v>18751213</v>
      </c>
      <c r="L105" s="4363">
        <f t="shared" ref="L105" si="48">SUM(L103:L104)</f>
        <v>15662410</v>
      </c>
      <c r="M105" s="4363">
        <f t="shared" ref="M105" si="49">SUM(M103:M104)</f>
        <v>12435000</v>
      </c>
      <c r="N105" s="4363">
        <f t="shared" ref="N105" si="50">SUM(N103:N104)</f>
        <v>11230000</v>
      </c>
      <c r="O105" s="4363">
        <f t="shared" ref="O105" si="51">SUM(O103:O104)</f>
        <v>9980000</v>
      </c>
      <c r="P105" s="4363">
        <f t="shared" ref="P105" si="52">SUM(P103:P104)</f>
        <v>8685000</v>
      </c>
      <c r="Q105" s="4363">
        <f t="shared" ref="Q105" si="53">SUM(Q103:Q104)</f>
        <v>7345000</v>
      </c>
      <c r="R105" s="4363">
        <f t="shared" ref="R105" si="54">SUM(R103:R104)</f>
        <v>5950000</v>
      </c>
      <c r="S105" s="4363">
        <f t="shared" ref="S105" si="55">SUM(S103:S104)</f>
        <v>4500000</v>
      </c>
      <c r="T105" s="4363">
        <f t="shared" ref="T105" si="56">SUM(T103:T104)</f>
        <v>3085000</v>
      </c>
      <c r="U105" s="4363">
        <f t="shared" ref="U105" si="57">SUM(U103:U104)</f>
        <v>1615000</v>
      </c>
      <c r="V105" s="4363">
        <f t="shared" ref="V105" si="58">SUM(V103:V104)</f>
        <v>80000</v>
      </c>
      <c r="W105" s="4363">
        <f t="shared" ref="W105" si="59">SUM(W103:W104)</f>
        <v>40000</v>
      </c>
      <c r="X105" s="4363">
        <f t="shared" ref="X105" si="60">SUM(X103:X104)</f>
        <v>0</v>
      </c>
      <c r="Y105" s="4363">
        <f t="shared" ref="Y105" si="61">SUM(Y103:Y104)</f>
        <v>0</v>
      </c>
      <c r="Z105" s="4363">
        <f t="shared" ref="Z105" si="62">SUM(Z103:Z104)</f>
        <v>0</v>
      </c>
      <c r="AA105" s="4363">
        <f t="shared" ref="AA105" si="63">SUM(AA103:AA104)</f>
        <v>0</v>
      </c>
    </row>
    <row r="106" spans="1:27">
      <c r="A106" s="4367"/>
      <c r="B106" s="3386"/>
      <c r="C106" s="3386">
        <v>1659888</v>
      </c>
      <c r="D106" s="3386"/>
      <c r="E106" s="3386"/>
      <c r="F106" s="3386"/>
      <c r="G106" s="3386"/>
      <c r="H106" s="3386"/>
      <c r="I106" s="3386"/>
      <c r="J106" s="3386"/>
      <c r="K106" s="3386"/>
      <c r="L106" s="3386"/>
      <c r="M106" s="3386"/>
      <c r="N106" s="3386"/>
      <c r="O106" s="3386"/>
      <c r="P106" s="3386"/>
      <c r="Q106" s="3386"/>
      <c r="R106" s="3386"/>
      <c r="S106" s="3386"/>
      <c r="T106" s="3386"/>
      <c r="U106" s="3386"/>
      <c r="V106" s="3386"/>
      <c r="W106" s="3386"/>
      <c r="X106" s="3386"/>
      <c r="Y106" s="3386"/>
      <c r="Z106" s="4368"/>
      <c r="AA106" s="4368"/>
    </row>
    <row r="107" spans="1:27">
      <c r="A107" s="3261" t="s">
        <v>268</v>
      </c>
    </row>
    <row r="108" spans="1:27" s="4364" customFormat="1">
      <c r="B108" s="4364" t="s">
        <v>637</v>
      </c>
      <c r="C108" s="4365">
        <v>23890405</v>
      </c>
      <c r="D108" s="4365">
        <v>21619758</v>
      </c>
      <c r="E108" s="4365">
        <v>19885857</v>
      </c>
      <c r="F108" s="4365">
        <v>18074538</v>
      </c>
      <c r="G108" s="4365">
        <v>16416131</v>
      </c>
      <c r="H108" s="4365">
        <v>14670301</v>
      </c>
      <c r="I108" s="4365">
        <v>12836320</v>
      </c>
      <c r="J108" s="4365">
        <v>10563708</v>
      </c>
      <c r="K108" s="4365">
        <v>7604360</v>
      </c>
      <c r="L108" s="4365">
        <v>5493962</v>
      </c>
      <c r="M108" s="4365">
        <v>3271594</v>
      </c>
      <c r="N108" s="4365">
        <v>1675935</v>
      </c>
      <c r="O108" s="4365">
        <v>0</v>
      </c>
      <c r="P108" s="4365">
        <v>0</v>
      </c>
      <c r="Q108" s="4365">
        <v>0</v>
      </c>
      <c r="R108" s="4365">
        <v>0</v>
      </c>
      <c r="S108" s="4365">
        <v>0</v>
      </c>
      <c r="T108" s="4365">
        <v>0</v>
      </c>
      <c r="U108" s="4365">
        <v>0</v>
      </c>
      <c r="V108" s="4365">
        <v>0</v>
      </c>
      <c r="W108" s="4365">
        <v>0</v>
      </c>
      <c r="X108" s="4365">
        <v>0</v>
      </c>
      <c r="Y108" s="4365">
        <v>0</v>
      </c>
      <c r="Z108" s="4365">
        <v>0</v>
      </c>
      <c r="AA108" s="4365">
        <v>0</v>
      </c>
    </row>
    <row r="109" spans="1:27">
      <c r="B109" s="3265" t="str">
        <f>'Capital Projects and FR'!A36</f>
        <v>IUS Education and Technology Building</v>
      </c>
      <c r="C109" s="4328"/>
      <c r="D109" s="4328"/>
      <c r="E109" s="4328"/>
      <c r="F109" s="4328">
        <f>IF('Capital Projects and FR'!$F36&gt;0,('Capital Projects and FR'!D36*1.0575+(PMT(0.0575,20,'Capital Projects and FR'!D36,0))),0)</f>
        <v>0</v>
      </c>
      <c r="G109" s="4328">
        <f>IF(F109&gt;0,(F109*1.0575+PMT(0.0575,20,'Capital Projects and FR'!$D36,0)),0)</f>
        <v>0</v>
      </c>
      <c r="H109" s="4328">
        <f>IF(G109&gt;0,(G109*1.0575+PMT(0.0575,20,'Capital Projects and FR'!$D36,0)),0)</f>
        <v>0</v>
      </c>
      <c r="I109" s="4328">
        <f>IF(H109&gt;0,(H109*1.0575+PMT(0.0575,20,'Capital Projects and FR'!$D36,0)),0)</f>
        <v>0</v>
      </c>
      <c r="J109" s="4328">
        <f>IF(I109&gt;0,(I109*1.0575+PMT(0.0575,20,'Capital Projects and FR'!$D36,0)),0)</f>
        <v>0</v>
      </c>
      <c r="K109" s="4328">
        <f>IF(J109&gt;0,(J109*1.0575+PMT(0.0575,20,'Capital Projects and FR'!$D36,0)),0)</f>
        <v>0</v>
      </c>
      <c r="L109" s="4328">
        <f>IF(K109&gt;0,(K109*1.0575+PMT(0.0575,20,'Capital Projects and FR'!$D36,0)),0)</f>
        <v>0</v>
      </c>
      <c r="M109" s="4328">
        <f>IF(L109&gt;0,(L109*1.0575+PMT(0.0575,20,'Capital Projects and FR'!$D36,0)),0)</f>
        <v>0</v>
      </c>
      <c r="N109" s="4328">
        <f>IF(M109&gt;0,(M109*1.0575+PMT(0.0575,20,'Capital Projects and FR'!$D36,0)),0)</f>
        <v>0</v>
      </c>
      <c r="O109" s="4328">
        <f>IF(N109&gt;0,(N109*1.0575+PMT(0.0575,20,'Capital Projects and FR'!$D36,0)),0)</f>
        <v>0</v>
      </c>
      <c r="P109" s="4328">
        <f>IF(O109&gt;0,(O109*1.0575+PMT(0.0575,20,'Capital Projects and FR'!$D36,0)),0)</f>
        <v>0</v>
      </c>
      <c r="Q109" s="4328">
        <f>IF(P109&gt;0,(P109*1.0575+PMT(0.0575,20,'Capital Projects and FR'!$D36,0)),0)</f>
        <v>0</v>
      </c>
      <c r="R109" s="4328">
        <f>IF(Q109&gt;0,(Q109*1.0575+PMT(0.0575,20,'Capital Projects and FR'!$D36,0)),0)</f>
        <v>0</v>
      </c>
      <c r="S109" s="4328">
        <f>IF(R109&gt;0,(R109*1.0575+PMT(0.0575,20,'Capital Projects and FR'!$D36,0)),0)</f>
        <v>0</v>
      </c>
      <c r="T109" s="4328">
        <f>IF(S109&gt;0,(S109*1.0575+PMT(0.0575,20,'Capital Projects and FR'!$D36,0)),0)</f>
        <v>0</v>
      </c>
      <c r="U109" s="4328">
        <f>IF(T109&gt;0,(T109*1.0575+PMT(0.0575,20,'Capital Projects and FR'!$D36,0)),0)</f>
        <v>0</v>
      </c>
      <c r="V109" s="4328">
        <f>IF(U109&gt;0,(U109*1.0575+PMT(0.0575,20,'Capital Projects and FR'!$D36,0)),0)</f>
        <v>0</v>
      </c>
      <c r="W109" s="4328">
        <f>IF(V109&gt;0,(V109*1.0575+PMT(0.0575,20,'Capital Projects and FR'!$D36,0)),0)</f>
        <v>0</v>
      </c>
      <c r="X109" s="4328">
        <f>IF(W109&gt;0,(W109*1.0575+PMT(0.0575,20,'Capital Projects and FR'!$D36,0)),0)</f>
        <v>0</v>
      </c>
      <c r="Y109" s="4328">
        <f>IF(X109&gt;0,(X109*1.0575+PMT(0.0575,20,'Capital Projects and FR'!$D36,0)),0)</f>
        <v>0</v>
      </c>
      <c r="Z109" s="4328">
        <f>IF(Y109&gt;0,(Y109*1.0575+PMT(0.0575,20,'Capital Projects and FR'!$D36,0)),0)</f>
        <v>0</v>
      </c>
      <c r="AA109" s="4328">
        <f>IF(Z109&gt;0,(Z109*1.0575+PMT(0.0575,20,'Capital Projects and FR'!$D36,0)),0)</f>
        <v>0</v>
      </c>
    </row>
    <row r="110" spans="1:27">
      <c r="B110" s="3265" t="str">
        <f>'Capital Projects and FR'!A63</f>
        <v>IU Regional Campus wide Projects</v>
      </c>
      <c r="C110" s="4328"/>
      <c r="D110" s="4328"/>
      <c r="E110" s="4328"/>
      <c r="F110" s="4328"/>
      <c r="G110" s="4328">
        <f>IF('Capital Projects and FR'!$F63&gt;0,('Capital Projects and FR'!N68*1.0575+(PMT(0.0575,20,'Capital Projects and FR'!N68,0))),0)</f>
        <v>0</v>
      </c>
      <c r="H110" s="4328">
        <f>IF(G110&gt;0,(G110*1.0575+PMT(0.0575,20,'Capital Projects and FR'!$N68,0)),0)</f>
        <v>0</v>
      </c>
      <c r="I110" s="4328">
        <f>IF(H110&gt;0,(H110*1.0575+PMT(0.0575,20,'Capital Projects and FR'!$N68,0)),0)</f>
        <v>0</v>
      </c>
      <c r="J110" s="4328">
        <f>IF(I110&gt;0,(I110*1.0575+PMT(0.0575,20,'Capital Projects and FR'!$N68,0)),0)</f>
        <v>0</v>
      </c>
      <c r="K110" s="4328">
        <f>IF(J110&gt;0,(J110*1.0575+PMT(0.0575,20,'Capital Projects and FR'!$N68,0)),0)</f>
        <v>0</v>
      </c>
      <c r="L110" s="4328">
        <f>IF(K110&gt;0,(K110*1.0575+PMT(0.0575,20,'Capital Projects and FR'!$N68,0)),0)</f>
        <v>0</v>
      </c>
      <c r="M110" s="4328">
        <f>IF(L110&gt;0,(L110*1.0575+PMT(0.0575,20,'Capital Projects and FR'!$N68,0)),0)</f>
        <v>0</v>
      </c>
      <c r="N110" s="4328">
        <f>IF(M110&gt;0,(M110*1.0575+PMT(0.0575,20,'Capital Projects and FR'!$N68,0)),0)</f>
        <v>0</v>
      </c>
      <c r="O110" s="4328">
        <f>IF(N110&gt;0,(N110*1.0575+PMT(0.0575,20,'Capital Projects and FR'!$N68,0)),0)</f>
        <v>0</v>
      </c>
      <c r="P110" s="4328">
        <f>IF(O110&gt;0,(O110*1.0575+PMT(0.0575,20,'Capital Projects and FR'!$N68,0)),0)</f>
        <v>0</v>
      </c>
      <c r="Q110" s="4328">
        <f>IF(P110&gt;0,(P110*1.0575+PMT(0.0575,20,'Capital Projects and FR'!$N68,0)),0)</f>
        <v>0</v>
      </c>
      <c r="R110" s="4328">
        <f>IF(Q110&gt;0,(Q110*1.0575+PMT(0.0575,20,'Capital Projects and FR'!$N68,0)),0)</f>
        <v>0</v>
      </c>
      <c r="S110" s="4328">
        <f>IF(R110&gt;0,(R110*1.0575+PMT(0.0575,20,'Capital Projects and FR'!$N68,0)),0)</f>
        <v>0</v>
      </c>
      <c r="T110" s="4328">
        <f>IF(S110&gt;0,(S110*1.0575+PMT(0.0575,20,'Capital Projects and FR'!$N68,0)),0)</f>
        <v>0</v>
      </c>
      <c r="U110" s="4328">
        <f>IF(T110&gt;0,(T110*1.0575+PMT(0.0575,20,'Capital Projects and FR'!$N68,0)),0)</f>
        <v>0</v>
      </c>
      <c r="V110" s="4328">
        <f>IF(U110&gt;0,(U110*1.0575+PMT(0.0575,20,'Capital Projects and FR'!$N68,0)),0)</f>
        <v>0</v>
      </c>
      <c r="W110" s="4328">
        <f>IF(V110&gt;0,(V110*1.0575+PMT(0.0575,20,'Capital Projects and FR'!$N68,0)),0)</f>
        <v>0</v>
      </c>
      <c r="X110" s="4328">
        <f>IF(W110&gt;0,(W110*1.0575+PMT(0.0575,20,'Capital Projects and FR'!$N68,0)),0)</f>
        <v>0</v>
      </c>
      <c r="Y110" s="4328">
        <f>IF(X110&gt;0,(X110*1.0575+PMT(0.0575,20,'Capital Projects and FR'!$N68,0)),0)</f>
        <v>0</v>
      </c>
      <c r="Z110" s="4328">
        <f>IF(Y110&gt;0,(Y110*1.0575+PMT(0.0575,20,'Capital Projects and FR'!$N68,0)),0)</f>
        <v>0</v>
      </c>
      <c r="AA110" s="4328">
        <v>0</v>
      </c>
    </row>
    <row r="111" spans="1:27" s="3261" customFormat="1">
      <c r="B111" s="3261" t="s">
        <v>615</v>
      </c>
      <c r="C111" s="4363">
        <f t="shared" ref="C111" si="64">SUM(C108:C110)</f>
        <v>23890405</v>
      </c>
      <c r="D111" s="4363">
        <f t="shared" ref="D111" si="65">SUM(D108:D110)</f>
        <v>21619758</v>
      </c>
      <c r="E111" s="4363">
        <f t="shared" ref="E111" si="66">SUM(E108:E110)</f>
        <v>19885857</v>
      </c>
      <c r="F111" s="4363">
        <f t="shared" ref="F111" si="67">SUM(F108:F110)</f>
        <v>18074538</v>
      </c>
      <c r="G111" s="4363">
        <f t="shared" ref="G111" si="68">SUM(G108:G110)</f>
        <v>16416131</v>
      </c>
      <c r="H111" s="4363">
        <f t="shared" ref="H111" si="69">SUM(H108:H110)</f>
        <v>14670301</v>
      </c>
      <c r="I111" s="4363">
        <f t="shared" ref="I111" si="70">SUM(I108:I110)</f>
        <v>12836320</v>
      </c>
      <c r="J111" s="4363">
        <f t="shared" ref="J111" si="71">SUM(J108:J110)</f>
        <v>10563708</v>
      </c>
      <c r="K111" s="4363">
        <f t="shared" ref="K111" si="72">SUM(K108:K110)</f>
        <v>7604360</v>
      </c>
      <c r="L111" s="4363">
        <f t="shared" ref="L111" si="73">SUM(L108:L110)</f>
        <v>5493962</v>
      </c>
      <c r="M111" s="4363">
        <f t="shared" ref="M111" si="74">SUM(M108:M110)</f>
        <v>3271594</v>
      </c>
      <c r="N111" s="4363">
        <f t="shared" ref="N111" si="75">SUM(N108:N110)</f>
        <v>1675935</v>
      </c>
      <c r="O111" s="4363">
        <f t="shared" ref="O111" si="76">SUM(O108:O110)</f>
        <v>0</v>
      </c>
      <c r="P111" s="4363">
        <f t="shared" ref="P111" si="77">SUM(P108:P110)</f>
        <v>0</v>
      </c>
      <c r="Q111" s="4363">
        <f t="shared" ref="Q111" si="78">SUM(Q108:Q110)</f>
        <v>0</v>
      </c>
      <c r="R111" s="4363">
        <f t="shared" ref="R111" si="79">SUM(R108:R110)</f>
        <v>0</v>
      </c>
      <c r="S111" s="4363">
        <f t="shared" ref="S111" si="80">SUM(S108:S110)</f>
        <v>0</v>
      </c>
      <c r="T111" s="4363">
        <f t="shared" ref="T111" si="81">SUM(T108:T110)</f>
        <v>0</v>
      </c>
      <c r="U111" s="4363">
        <f t="shared" ref="U111" si="82">SUM(U108:U110)</f>
        <v>0</v>
      </c>
      <c r="V111" s="4363">
        <f t="shared" ref="V111" si="83">SUM(V108:V110)</f>
        <v>0</v>
      </c>
      <c r="W111" s="4363">
        <f t="shared" ref="W111" si="84">SUM(W108:W110)</f>
        <v>0</v>
      </c>
      <c r="X111" s="4363">
        <f t="shared" ref="X111" si="85">SUM(X108:X110)</f>
        <v>0</v>
      </c>
      <c r="Y111" s="4363">
        <f t="shared" ref="Y111" si="86">SUM(Y108:Y110)</f>
        <v>0</v>
      </c>
      <c r="Z111" s="4363">
        <f t="shared" ref="Z111" si="87">SUM(Z108:Z110)</f>
        <v>0</v>
      </c>
      <c r="AA111" s="4363">
        <f t="shared" ref="AA111" si="88">SUM(AA108:AA110)</f>
        <v>0</v>
      </c>
    </row>
    <row r="112" spans="1:27">
      <c r="A112" s="4367"/>
      <c r="B112" s="3386"/>
      <c r="C112" s="3386">
        <v>1659888</v>
      </c>
      <c r="D112" s="3386"/>
      <c r="E112" s="3386"/>
      <c r="F112" s="3386"/>
      <c r="G112" s="3386"/>
      <c r="H112" s="3386"/>
      <c r="I112" s="3386"/>
      <c r="J112" s="3386"/>
      <c r="K112" s="3386"/>
      <c r="L112" s="3386"/>
      <c r="M112" s="3386"/>
      <c r="N112" s="3386"/>
      <c r="O112" s="3386"/>
      <c r="P112" s="3386"/>
      <c r="Q112" s="3386"/>
      <c r="R112" s="3386"/>
      <c r="S112" s="3386"/>
      <c r="T112" s="3386"/>
      <c r="U112" s="3386"/>
      <c r="V112" s="3386"/>
      <c r="W112" s="3386"/>
      <c r="X112" s="3386"/>
      <c r="Y112" s="3386"/>
      <c r="Z112" s="4368"/>
      <c r="AA112" s="4368"/>
    </row>
    <row r="113" spans="1:27">
      <c r="A113" s="3261" t="s">
        <v>895</v>
      </c>
    </row>
    <row r="114" spans="1:27" s="4364" customFormat="1">
      <c r="B114" s="4364" t="s">
        <v>637</v>
      </c>
      <c r="C114" s="4365">
        <v>146705191</v>
      </c>
      <c r="D114" s="4365">
        <v>168547016</v>
      </c>
      <c r="E114" s="4365">
        <v>157880784</v>
      </c>
      <c r="F114" s="4365">
        <v>146690480</v>
      </c>
      <c r="G114" s="4365">
        <v>134506970</v>
      </c>
      <c r="H114" s="4365">
        <v>121704715</v>
      </c>
      <c r="I114" s="4365">
        <v>108256246</v>
      </c>
      <c r="J114" s="4365">
        <v>93437564</v>
      </c>
      <c r="K114" s="4365">
        <v>80459122</v>
      </c>
      <c r="L114" s="4365">
        <v>69427778</v>
      </c>
      <c r="M114" s="4365">
        <v>57836887</v>
      </c>
      <c r="N114" s="4365">
        <v>49510494</v>
      </c>
      <c r="O114" s="4365">
        <v>40755000</v>
      </c>
      <c r="P114" s="4365">
        <v>34205000</v>
      </c>
      <c r="Q114" s="4365">
        <v>27345000</v>
      </c>
      <c r="R114" s="4365">
        <v>20150000</v>
      </c>
      <c r="S114" s="4365">
        <v>12600000</v>
      </c>
      <c r="T114" s="4365">
        <v>10075000</v>
      </c>
      <c r="U114" s="4365">
        <v>7430000</v>
      </c>
      <c r="V114" s="4365">
        <v>4655000</v>
      </c>
      <c r="W114" s="4365">
        <v>2385000</v>
      </c>
      <c r="X114" s="4365">
        <v>0</v>
      </c>
      <c r="Y114" s="4365">
        <v>0</v>
      </c>
      <c r="Z114" s="4365">
        <v>0</v>
      </c>
      <c r="AA114" s="4365">
        <v>0</v>
      </c>
    </row>
    <row r="115" spans="1:27">
      <c r="B115" s="3265" t="str">
        <f>'Capital Projects and FR'!A69</f>
        <v>IUPUI Emerson Hall</v>
      </c>
      <c r="C115" s="4328"/>
      <c r="D115" s="4328"/>
      <c r="E115" s="4328"/>
      <c r="F115" s="4328"/>
      <c r="G115" s="4328">
        <f>IF('Capital Projects and FR'!$F69&gt;0,('Capital Projects and FR'!D69*1.0575+(PMT(0.0575,20,'Capital Projects and FR'!D69,0))),0)</f>
        <v>0</v>
      </c>
      <c r="H115" s="4328">
        <f>IF(G115&gt;0,(G115*1.0575+PMT(0.0575,20,'Capital Projects and FR'!$D69,0)),0)</f>
        <v>0</v>
      </c>
      <c r="I115" s="4328">
        <f>IF(H115&gt;0,(H115*1.0575+PMT(0.0575,20,'Capital Projects and FR'!$D69,0)),0)</f>
        <v>0</v>
      </c>
      <c r="J115" s="4328">
        <f>IF(I115&gt;0,(I115*1.0575+PMT(0.0575,20,'Capital Projects and FR'!$D69,0)),0)</f>
        <v>0</v>
      </c>
      <c r="K115" s="4328">
        <f>IF(J115&gt;0,(J115*1.0575+PMT(0.0575,20,'Capital Projects and FR'!$D69,0)),0)</f>
        <v>0</v>
      </c>
      <c r="L115" s="4328">
        <f>IF(K115&gt;0,(K115*1.0575+PMT(0.0575,20,'Capital Projects and FR'!$D69,0)),0)</f>
        <v>0</v>
      </c>
      <c r="M115" s="4328">
        <f>IF(L115&gt;0,(L115*1.0575+PMT(0.0575,20,'Capital Projects and FR'!$D69,0)),0)</f>
        <v>0</v>
      </c>
      <c r="N115" s="4328">
        <f>IF(M115&gt;0,(M115*1.0575+PMT(0.0575,20,'Capital Projects and FR'!$D69,0)),0)</f>
        <v>0</v>
      </c>
      <c r="O115" s="4328">
        <f>IF(N115&gt;0,(N115*1.0575+PMT(0.0575,20,'Capital Projects and FR'!$D69,0)),0)</f>
        <v>0</v>
      </c>
      <c r="P115" s="4328">
        <f>IF(O115&gt;0,(O115*1.0575+PMT(0.0575,20,'Capital Projects and FR'!$D69,0)),0)</f>
        <v>0</v>
      </c>
      <c r="Q115" s="4328">
        <f>IF(P115&gt;0,(P115*1.0575+PMT(0.0575,20,'Capital Projects and FR'!$D69,0)),0)</f>
        <v>0</v>
      </c>
      <c r="R115" s="4328">
        <f>IF(Q115&gt;0,(Q115*1.0575+PMT(0.0575,20,'Capital Projects and FR'!$D69,0)),0)</f>
        <v>0</v>
      </c>
      <c r="S115" s="4328">
        <f>IF(R115&gt;0,(R115*1.0575+PMT(0.0575,20,'Capital Projects and FR'!$D69,0)),0)</f>
        <v>0</v>
      </c>
      <c r="T115" s="4328">
        <f>IF(S115&gt;0,(S115*1.0575+PMT(0.0575,20,'Capital Projects and FR'!$D69,0)),0)</f>
        <v>0</v>
      </c>
      <c r="U115" s="4328">
        <f>IF(T115&gt;0,(T115*1.0575+PMT(0.0575,20,'Capital Projects and FR'!$D69,0)),0)</f>
        <v>0</v>
      </c>
      <c r="V115" s="4328">
        <f>IF(U115&gt;0,(U115*1.0575+PMT(0.0575,20,'Capital Projects and FR'!$D69,0)),0)</f>
        <v>0</v>
      </c>
      <c r="W115" s="4328">
        <f>IF(V115&gt;0,(V115*1.0575+PMT(0.0575,20,'Capital Projects and FR'!$D69,0)),0)</f>
        <v>0</v>
      </c>
      <c r="X115" s="4328">
        <f>IF(W115&gt;0,(W115*1.0575+PMT(0.0575,20,'Capital Projects and FR'!$D69,0)),0)</f>
        <v>0</v>
      </c>
      <c r="Y115" s="4328">
        <f>IF(X115&gt;0,(X115*1.0575+PMT(0.0575,20,'Capital Projects and FR'!$D69,0)),0)</f>
        <v>0</v>
      </c>
      <c r="Z115" s="4328">
        <f>IF(Y115&gt;0,(Y115*1.0575+PMT(0.0575,20,'Capital Projects and FR'!$D69,0)),0)</f>
        <v>0</v>
      </c>
      <c r="AA115" s="4328">
        <f>IF(Z115&gt;0,(Z115*1.0575+PMT(0.0575,20,'Capital Projects and FR'!$D95,0)),0)</f>
        <v>0</v>
      </c>
    </row>
    <row r="116" spans="1:27">
      <c r="B116" s="3265" t="str">
        <f>'Capital Projects and FR'!A70</f>
        <v>IU SOMD Laboratory Building Expansion</v>
      </c>
      <c r="C116" s="4328"/>
      <c r="D116" s="4328"/>
      <c r="E116" s="4328"/>
      <c r="F116" s="4328"/>
      <c r="G116" s="4328">
        <f>IF('Capital Projects and FR'!$F70&gt;0,('Capital Projects and FR'!D70*1.0575+(PMT(0.0575,20,'Capital Projects and FR'!D70,0))),0)</f>
        <v>0</v>
      </c>
      <c r="H116" s="4328">
        <f>IF(G116&gt;0,(G116*1.0575+PMT(0.0575,20,'Capital Projects and FR'!$D70,0)),0)</f>
        <v>0</v>
      </c>
      <c r="I116" s="4328">
        <f>IF(H116&gt;0,(H116*1.0575+PMT(0.0575,20,'Capital Projects and FR'!$D70,0)),0)</f>
        <v>0</v>
      </c>
      <c r="J116" s="4328">
        <f>IF(I116&gt;0,(I116*1.0575+PMT(0.0575,20,'Capital Projects and FR'!$D70,0)),0)</f>
        <v>0</v>
      </c>
      <c r="K116" s="4328">
        <f>IF(J116&gt;0,(J116*1.0575+PMT(0.0575,20,'Capital Projects and FR'!$D70,0)),0)</f>
        <v>0</v>
      </c>
      <c r="L116" s="4328">
        <f>IF(K116&gt;0,(K116*1.0575+PMT(0.0575,20,'Capital Projects and FR'!$D70,0)),0)</f>
        <v>0</v>
      </c>
      <c r="M116" s="4328">
        <f>IF(L116&gt;0,(L116*1.0575+PMT(0.0575,20,'Capital Projects and FR'!$D70,0)),0)</f>
        <v>0</v>
      </c>
      <c r="N116" s="4328">
        <f>IF(M116&gt;0,(M116*1.0575+PMT(0.0575,20,'Capital Projects and FR'!$D70,0)),0)</f>
        <v>0</v>
      </c>
      <c r="O116" s="4328">
        <f>IF(N116&gt;0,(N116*1.0575+PMT(0.0575,20,'Capital Projects and FR'!$D70,0)),0)</f>
        <v>0</v>
      </c>
      <c r="P116" s="4328">
        <f>IF(O116&gt;0,(O116*1.0575+PMT(0.0575,20,'Capital Projects and FR'!$D70,0)),0)</f>
        <v>0</v>
      </c>
      <c r="Q116" s="4328">
        <f>IF(P116&gt;0,(P116*1.0575+PMT(0.0575,20,'Capital Projects and FR'!$D70,0)),0)</f>
        <v>0</v>
      </c>
      <c r="R116" s="4328">
        <f>IF(Q116&gt;0,(Q116*1.0575+PMT(0.0575,20,'Capital Projects and FR'!$D70,0)),0)</f>
        <v>0</v>
      </c>
      <c r="S116" s="4328">
        <f>IF(R116&gt;0,(R116*1.0575+PMT(0.0575,20,'Capital Projects and FR'!$D70,0)),0)</f>
        <v>0</v>
      </c>
      <c r="T116" s="4328">
        <f>IF(S116&gt;0,(S116*1.0575+PMT(0.0575,20,'Capital Projects and FR'!$D70,0)),0)</f>
        <v>0</v>
      </c>
      <c r="U116" s="4328">
        <f>IF(T116&gt;0,(T116*1.0575+PMT(0.0575,20,'Capital Projects and FR'!$D70,0)),0)</f>
        <v>0</v>
      </c>
      <c r="V116" s="4328">
        <f>IF(U116&gt;0,(U116*1.0575+PMT(0.0575,20,'Capital Projects and FR'!$D70,0)),0)</f>
        <v>0</v>
      </c>
      <c r="W116" s="4328">
        <f>IF(V116&gt;0,(V116*1.0575+PMT(0.0575,20,'Capital Projects and FR'!$D70,0)),0)</f>
        <v>0</v>
      </c>
      <c r="X116" s="4328">
        <f>IF(W116&gt;0,(W116*1.0575+PMT(0.0575,20,'Capital Projects and FR'!$D70,0)),0)</f>
        <v>0</v>
      </c>
      <c r="Y116" s="4328">
        <f>IF(X116&gt;0,(X116*1.0575+PMT(0.0575,20,'Capital Projects and FR'!$D70,0)),0)</f>
        <v>0</v>
      </c>
      <c r="Z116" s="4328">
        <f>IF(Y116&gt;0,(Y116*1.0575+PMT(0.0575,20,'Capital Projects and FR'!$D70,0)),0)</f>
        <v>0</v>
      </c>
      <c r="AA116" s="4328">
        <f>IF(Z116&gt;0,(Z116*1.0575+PMT(0.0575,20,'Capital Projects and FR'!$D96,0)),0)</f>
        <v>0</v>
      </c>
    </row>
    <row r="117" spans="1:27">
      <c r="B117" s="3265" t="str">
        <f>'Capital Projects and FR'!A71</f>
        <v>IUPUI Science &amp; Engineering Lab Building Phase II</v>
      </c>
      <c r="C117" s="4328"/>
      <c r="D117" s="4328"/>
      <c r="E117" s="4328"/>
      <c r="F117" s="4328"/>
      <c r="G117" s="4328">
        <f>IF('Capital Projects and FR'!$F71&gt;0,('Capital Projects and FR'!D71*1.0575+(PMT(0.0575,20,'Capital Projects and FR'!D71,0))),0)</f>
        <v>0</v>
      </c>
      <c r="H117" s="4328">
        <f>IF(G117&gt;0,(G117*1.0575+PMT(0.0575,20,'Capital Projects and FR'!$D71,0)),0)</f>
        <v>0</v>
      </c>
      <c r="I117" s="4328">
        <f>IF(H117&gt;0,(H117*1.0575+PMT(0.0575,20,'Capital Projects and FR'!$D71,0)),0)</f>
        <v>0</v>
      </c>
      <c r="J117" s="4328">
        <f>IF(I117&gt;0,(I117*1.0575+PMT(0.0575,20,'Capital Projects and FR'!$D71,0)),0)</f>
        <v>0</v>
      </c>
      <c r="K117" s="4328">
        <f>IF(J117&gt;0,(J117*1.0575+PMT(0.0575,20,'Capital Projects and FR'!$D71,0)),0)</f>
        <v>0</v>
      </c>
      <c r="L117" s="4328">
        <f>IF(K117&gt;0,(K117*1.0575+PMT(0.0575,20,'Capital Projects and FR'!$D71,0)),0)</f>
        <v>0</v>
      </c>
      <c r="M117" s="4328">
        <f>IF(L117&gt;0,(L117*1.0575+PMT(0.0575,20,'Capital Projects and FR'!$D71,0)),0)</f>
        <v>0</v>
      </c>
      <c r="N117" s="4328">
        <f>IF(M117&gt;0,(M117*1.0575+PMT(0.0575,20,'Capital Projects and FR'!$D71,0)),0)</f>
        <v>0</v>
      </c>
      <c r="O117" s="4328">
        <f>IF(N117&gt;0,(N117*1.0575+PMT(0.0575,20,'Capital Projects and FR'!$D71,0)),0)</f>
        <v>0</v>
      </c>
      <c r="P117" s="4328">
        <f>IF(O117&gt;0,(O117*1.0575+PMT(0.0575,20,'Capital Projects and FR'!$D71,0)),0)</f>
        <v>0</v>
      </c>
      <c r="Q117" s="4328">
        <f>IF(P117&gt;0,(P117*1.0575+PMT(0.0575,20,'Capital Projects and FR'!$D71,0)),0)</f>
        <v>0</v>
      </c>
      <c r="R117" s="4328">
        <f>IF(Q117&gt;0,(Q117*1.0575+PMT(0.0575,20,'Capital Projects and FR'!$D71,0)),0)</f>
        <v>0</v>
      </c>
      <c r="S117" s="4328">
        <f>IF(R117&gt;0,(R117*1.0575+PMT(0.0575,20,'Capital Projects and FR'!$D71,0)),0)</f>
        <v>0</v>
      </c>
      <c r="T117" s="4328">
        <f>IF(S117&gt;0,(S117*1.0575+PMT(0.0575,20,'Capital Projects and FR'!$D71,0)),0)</f>
        <v>0</v>
      </c>
      <c r="U117" s="4328">
        <f>IF(T117&gt;0,(T117*1.0575+PMT(0.0575,20,'Capital Projects and FR'!$D71,0)),0)</f>
        <v>0</v>
      </c>
      <c r="V117" s="4328">
        <f>IF(U117&gt;0,(U117*1.0575+PMT(0.0575,20,'Capital Projects and FR'!$D71,0)),0)</f>
        <v>0</v>
      </c>
      <c r="W117" s="4328">
        <f>IF(V117&gt;0,(V117*1.0575+PMT(0.0575,20,'Capital Projects and FR'!$D71,0)),0)</f>
        <v>0</v>
      </c>
      <c r="X117" s="4328">
        <f>IF(W117&gt;0,(W117*1.0575+PMT(0.0575,20,'Capital Projects and FR'!$D71,0)),0)</f>
        <v>0</v>
      </c>
      <c r="Y117" s="4328">
        <f>IF(X117&gt;0,(X117*1.0575+PMT(0.0575,20,'Capital Projects and FR'!$D71,0)),0)</f>
        <v>0</v>
      </c>
      <c r="Z117" s="4328">
        <f>IF(Y117&gt;0,(Y117*1.0575+PMT(0.0575,20,'Capital Projects and FR'!$D71,0)),0)</f>
        <v>0</v>
      </c>
      <c r="AA117" s="4328">
        <f>IF(Z117&gt;0,(Z117*1.0575+PMT(0.0575,20,'Capital Projects and FR'!$D97,0)),0)</f>
        <v>0</v>
      </c>
    </row>
    <row r="118" spans="1:27">
      <c r="B118" s="3265" t="str">
        <f>'Capital Projects and FR'!A72</f>
        <v>IUPUI Taylor Hall Renovation</v>
      </c>
      <c r="C118" s="4328"/>
      <c r="D118" s="4328"/>
      <c r="E118" s="4328"/>
      <c r="F118" s="4328"/>
      <c r="G118" s="4328">
        <f>IF('Capital Projects and FR'!$F72&gt;0,('Capital Projects and FR'!D72*1.0575+(PMT(0.0575,20,'Capital Projects and FR'!D72,0))),0)</f>
        <v>0</v>
      </c>
      <c r="H118" s="4328">
        <f>IF(G118&gt;0,(G118*1.0575+PMT(0.0575,20,'Capital Projects and FR'!$D72,0)),0)</f>
        <v>0</v>
      </c>
      <c r="I118" s="4328">
        <f>IF(H118&gt;0,(H118*1.0575+PMT(0.0575,20,'Capital Projects and FR'!$D72,0)),0)</f>
        <v>0</v>
      </c>
      <c r="J118" s="4328">
        <f>IF(I118&gt;0,(I118*1.0575+PMT(0.0575,20,'Capital Projects and FR'!$D72,0)),0)</f>
        <v>0</v>
      </c>
      <c r="K118" s="4328">
        <f>IF(J118&gt;0,(J118*1.0575+PMT(0.0575,20,'Capital Projects and FR'!$D72,0)),0)</f>
        <v>0</v>
      </c>
      <c r="L118" s="4328">
        <f>IF(K118&gt;0,(K118*1.0575+PMT(0.0575,20,'Capital Projects and FR'!$D72,0)),0)</f>
        <v>0</v>
      </c>
      <c r="M118" s="4328">
        <f>IF(L118&gt;0,(L118*1.0575+PMT(0.0575,20,'Capital Projects and FR'!$D72,0)),0)</f>
        <v>0</v>
      </c>
      <c r="N118" s="4328">
        <f>IF(M118&gt;0,(M118*1.0575+PMT(0.0575,20,'Capital Projects and FR'!$D72,0)),0)</f>
        <v>0</v>
      </c>
      <c r="O118" s="4328">
        <f>IF(N118&gt;0,(N118*1.0575+PMT(0.0575,20,'Capital Projects and FR'!$D72,0)),0)</f>
        <v>0</v>
      </c>
      <c r="P118" s="4328">
        <f>IF(O118&gt;0,(O118*1.0575+PMT(0.0575,20,'Capital Projects and FR'!$D72,0)),0)</f>
        <v>0</v>
      </c>
      <c r="Q118" s="4328">
        <f>IF(P118&gt;0,(P118*1.0575+PMT(0.0575,20,'Capital Projects and FR'!$D72,0)),0)</f>
        <v>0</v>
      </c>
      <c r="R118" s="4328">
        <f>IF(Q118&gt;0,(Q118*1.0575+PMT(0.0575,20,'Capital Projects and FR'!$D72,0)),0)</f>
        <v>0</v>
      </c>
      <c r="S118" s="4328">
        <f>IF(R118&gt;0,(R118*1.0575+PMT(0.0575,20,'Capital Projects and FR'!$D72,0)),0)</f>
        <v>0</v>
      </c>
      <c r="T118" s="4328">
        <f>IF(S118&gt;0,(S118*1.0575+PMT(0.0575,20,'Capital Projects and FR'!$D72,0)),0)</f>
        <v>0</v>
      </c>
      <c r="U118" s="4328">
        <f>IF(T118&gt;0,(T118*1.0575+PMT(0.0575,20,'Capital Projects and FR'!$D72,0)),0)</f>
        <v>0</v>
      </c>
      <c r="V118" s="4328">
        <f>IF(U118&gt;0,(U118*1.0575+PMT(0.0575,20,'Capital Projects and FR'!$D72,0)),0)</f>
        <v>0</v>
      </c>
      <c r="W118" s="4328">
        <f>IF(V118&gt;0,(V118*1.0575+PMT(0.0575,20,'Capital Projects and FR'!$D72,0)),0)</f>
        <v>0</v>
      </c>
      <c r="X118" s="4328">
        <f>IF(W118&gt;0,(W118*1.0575+PMT(0.0575,20,'Capital Projects and FR'!$D72,0)),0)</f>
        <v>0</v>
      </c>
      <c r="Y118" s="4328">
        <f>IF(X118&gt;0,(X118*1.0575+PMT(0.0575,20,'Capital Projects and FR'!$D72,0)),0)</f>
        <v>0</v>
      </c>
      <c r="Z118" s="4328">
        <f>IF(Y118&gt;0,(Y118*1.0575+PMT(0.0575,20,'Capital Projects and FR'!$D72,0)),0)</f>
        <v>0</v>
      </c>
      <c r="AA118" s="4328">
        <f>IF(Z118&gt;0,(Z118*1.0575+PMT(0.0575,20,'Capital Projects and FR'!$D98,0)),0)</f>
        <v>0</v>
      </c>
    </row>
    <row r="119" spans="1:27">
      <c r="B119" s="3265" t="str">
        <f>'Capital Projects and FR'!A73</f>
        <v>IUPUI VanNuys Medical Science Lab Renovation Phase IV</v>
      </c>
      <c r="C119" s="4328"/>
      <c r="D119" s="4328"/>
      <c r="E119" s="4328"/>
      <c r="F119" s="4328"/>
      <c r="G119" s="4328">
        <f>IF('Capital Projects and FR'!$F73&gt;0,('Capital Projects and FR'!D73*1.0575+(PMT(0.0575,20,'Capital Projects and FR'!D73,0))),0)</f>
        <v>0</v>
      </c>
      <c r="H119" s="4328">
        <f>IF(G119&gt;0,(G119*1.0575+PMT(0.0575,20,'Capital Projects and FR'!$D73,0)),0)</f>
        <v>0</v>
      </c>
      <c r="I119" s="4328">
        <f>IF(H119&gt;0,(H119*1.0575+PMT(0.0575,20,'Capital Projects and FR'!$D73,0)),0)</f>
        <v>0</v>
      </c>
      <c r="J119" s="4328">
        <f>IF(I119&gt;0,(I119*1.0575+PMT(0.0575,20,'Capital Projects and FR'!$D73,0)),0)</f>
        <v>0</v>
      </c>
      <c r="K119" s="4328">
        <f>IF(J119&gt;0,(J119*1.0575+PMT(0.0575,20,'Capital Projects and FR'!$D73,0)),0)</f>
        <v>0</v>
      </c>
      <c r="L119" s="4328">
        <f>IF(K119&gt;0,(K119*1.0575+PMT(0.0575,20,'Capital Projects and FR'!$D73,0)),0)</f>
        <v>0</v>
      </c>
      <c r="M119" s="4328">
        <f>IF(L119&gt;0,(L119*1.0575+PMT(0.0575,20,'Capital Projects and FR'!$D73,0)),0)</f>
        <v>0</v>
      </c>
      <c r="N119" s="4328">
        <f>IF(M119&gt;0,(M119*1.0575+PMT(0.0575,20,'Capital Projects and FR'!$D73,0)),0)</f>
        <v>0</v>
      </c>
      <c r="O119" s="4328">
        <f>IF(N119&gt;0,(N119*1.0575+PMT(0.0575,20,'Capital Projects and FR'!$D73,0)),0)</f>
        <v>0</v>
      </c>
      <c r="P119" s="4328">
        <f>IF(O119&gt;0,(O119*1.0575+PMT(0.0575,20,'Capital Projects and FR'!$D73,0)),0)</f>
        <v>0</v>
      </c>
      <c r="Q119" s="4328">
        <f>IF(P119&gt;0,(P119*1.0575+PMT(0.0575,20,'Capital Projects and FR'!$D73,0)),0)</f>
        <v>0</v>
      </c>
      <c r="R119" s="4328">
        <f>IF(Q119&gt;0,(Q119*1.0575+PMT(0.0575,20,'Capital Projects and FR'!$D73,0)),0)</f>
        <v>0</v>
      </c>
      <c r="S119" s="4328">
        <f>IF(R119&gt;0,(R119*1.0575+PMT(0.0575,20,'Capital Projects and FR'!$D73,0)),0)</f>
        <v>0</v>
      </c>
      <c r="T119" s="4328">
        <f>IF(S119&gt;0,(S119*1.0575+PMT(0.0575,20,'Capital Projects and FR'!$D73,0)),0)</f>
        <v>0</v>
      </c>
      <c r="U119" s="4328">
        <f>IF(T119&gt;0,(T119*1.0575+PMT(0.0575,20,'Capital Projects and FR'!$D73,0)),0)</f>
        <v>0</v>
      </c>
      <c r="V119" s="4328">
        <f>IF(U119&gt;0,(U119*1.0575+PMT(0.0575,20,'Capital Projects and FR'!$D73,0)),0)</f>
        <v>0</v>
      </c>
      <c r="W119" s="4328">
        <f>IF(V119&gt;0,(V119*1.0575+PMT(0.0575,20,'Capital Projects and FR'!$D73,0)),0)</f>
        <v>0</v>
      </c>
      <c r="X119" s="4328">
        <f>IF(W119&gt;0,(W119*1.0575+PMT(0.0575,20,'Capital Projects and FR'!$D73,0)),0)</f>
        <v>0</v>
      </c>
      <c r="Y119" s="4328">
        <f>IF(X119&gt;0,(X119*1.0575+PMT(0.0575,20,'Capital Projects and FR'!$D73,0)),0)</f>
        <v>0</v>
      </c>
      <c r="Z119" s="4328">
        <f>IF(Y119&gt;0,(Y119*1.0575+PMT(0.0575,20,'Capital Projects and FR'!$D73,0)),0)</f>
        <v>0</v>
      </c>
      <c r="AA119" s="4328">
        <f>IF(Z119&gt;0,(Z119*1.0575+PMT(0.0575,20,'Capital Projects and FR'!$D99,0)),0)</f>
        <v>0</v>
      </c>
    </row>
    <row r="120" spans="1:27" s="3261" customFormat="1">
      <c r="B120" s="3261" t="s">
        <v>615</v>
      </c>
      <c r="C120" s="4363">
        <f>SUM(C114:C119)</f>
        <v>146705191</v>
      </c>
      <c r="D120" s="4363">
        <f t="shared" ref="D120:AA120" si="89">SUM(D114:D119)</f>
        <v>168547016</v>
      </c>
      <c r="E120" s="4363">
        <f t="shared" si="89"/>
        <v>157880784</v>
      </c>
      <c r="F120" s="4363">
        <f t="shared" si="89"/>
        <v>146690480</v>
      </c>
      <c r="G120" s="4363">
        <f t="shared" si="89"/>
        <v>134506970</v>
      </c>
      <c r="H120" s="4363">
        <f t="shared" si="89"/>
        <v>121704715</v>
      </c>
      <c r="I120" s="4363">
        <f t="shared" si="89"/>
        <v>108256246</v>
      </c>
      <c r="J120" s="4363">
        <f t="shared" si="89"/>
        <v>93437564</v>
      </c>
      <c r="K120" s="4363">
        <f t="shared" si="89"/>
        <v>80459122</v>
      </c>
      <c r="L120" s="4363">
        <f t="shared" si="89"/>
        <v>69427778</v>
      </c>
      <c r="M120" s="4363">
        <f t="shared" si="89"/>
        <v>57836887</v>
      </c>
      <c r="N120" s="4363">
        <f t="shared" si="89"/>
        <v>49510494</v>
      </c>
      <c r="O120" s="4363">
        <f t="shared" si="89"/>
        <v>40755000</v>
      </c>
      <c r="P120" s="4363">
        <f t="shared" si="89"/>
        <v>34205000</v>
      </c>
      <c r="Q120" s="4363">
        <f t="shared" si="89"/>
        <v>27345000</v>
      </c>
      <c r="R120" s="4363">
        <f t="shared" si="89"/>
        <v>20150000</v>
      </c>
      <c r="S120" s="4363">
        <f t="shared" si="89"/>
        <v>12600000</v>
      </c>
      <c r="T120" s="4363">
        <f t="shared" si="89"/>
        <v>10075000</v>
      </c>
      <c r="U120" s="4363">
        <f t="shared" si="89"/>
        <v>7430000</v>
      </c>
      <c r="V120" s="4363">
        <f t="shared" si="89"/>
        <v>4655000</v>
      </c>
      <c r="W120" s="4363">
        <f t="shared" si="89"/>
        <v>2385000</v>
      </c>
      <c r="X120" s="4363">
        <f t="shared" si="89"/>
        <v>0</v>
      </c>
      <c r="Y120" s="4363">
        <f t="shared" si="89"/>
        <v>0</v>
      </c>
      <c r="Z120" s="4363">
        <f t="shared" si="89"/>
        <v>0</v>
      </c>
      <c r="AA120" s="4363">
        <f t="shared" si="89"/>
        <v>0</v>
      </c>
    </row>
    <row r="121" spans="1:27">
      <c r="A121" s="4367"/>
      <c r="B121" s="3386"/>
      <c r="C121" s="3386"/>
      <c r="D121" s="3386"/>
      <c r="E121" s="3386"/>
      <c r="F121" s="3386"/>
      <c r="G121" s="3386"/>
      <c r="H121" s="3386"/>
      <c r="I121" s="3386"/>
      <c r="J121" s="3386"/>
      <c r="K121" s="3386"/>
      <c r="L121" s="3386"/>
      <c r="M121" s="3386"/>
      <c r="N121" s="3386"/>
      <c r="O121" s="3386"/>
      <c r="P121" s="3386"/>
      <c r="Q121" s="3386"/>
      <c r="R121" s="3386"/>
      <c r="S121" s="3386"/>
      <c r="T121" s="3386"/>
      <c r="U121" s="3386"/>
      <c r="V121" s="3386"/>
      <c r="W121" s="3386"/>
      <c r="X121" s="3386"/>
      <c r="Y121" s="3386"/>
      <c r="Z121" s="4368"/>
      <c r="AA121" s="4368"/>
    </row>
    <row r="122" spans="1:27">
      <c r="A122" s="3261" t="s">
        <v>896</v>
      </c>
    </row>
    <row r="123" spans="1:27">
      <c r="B123" s="3265" t="s">
        <v>897</v>
      </c>
      <c r="C123" s="3471">
        <f>C6+C13+C23+C30+C36+C54+C60+C66+C71+C77+C87+C92+C103+C108+C114+C97</f>
        <v>1299049934</v>
      </c>
      <c r="D123" s="3471">
        <f t="shared" ref="D123" si="90">D6+D13+D23+D30+D36+D54+D60+D66+D71+D77+D87+D92+D103+D108+D114+D97</f>
        <v>1249101717</v>
      </c>
      <c r="E123" s="3471">
        <f>E6+E13+E23+E30+E36+E54+E60+E66+E71+E77+E87+E92+E103+E108+E114+E97+E31</f>
        <v>1178470605.0553076</v>
      </c>
      <c r="F123" s="3471">
        <f t="shared" ref="F123:AA123" si="91">F6+F13+F23+F30+F36+F54+F60+F66+F71+F77+F87+F92+F103+F108+F114+F97+F31</f>
        <v>1089355627.2152457</v>
      </c>
      <c r="G123" s="3471">
        <f t="shared" si="91"/>
        <v>1028151172.91293</v>
      </c>
      <c r="H123" s="3471">
        <f t="shared" si="91"/>
        <v>906274421.4107312</v>
      </c>
      <c r="I123" s="3471">
        <f t="shared" si="91"/>
        <v>815215750.53215587</v>
      </c>
      <c r="J123" s="3471">
        <f t="shared" si="91"/>
        <v>724231565.92556262</v>
      </c>
      <c r="K123" s="3471">
        <f t="shared" si="91"/>
        <v>637944558.62659013</v>
      </c>
      <c r="L123" s="3471">
        <f t="shared" si="91"/>
        <v>555076069.36542678</v>
      </c>
      <c r="M123" s="3471">
        <f t="shared" si="91"/>
        <v>470596324.60424662</v>
      </c>
      <c r="N123" s="3471">
        <f t="shared" si="91"/>
        <v>400031144.28929847</v>
      </c>
      <c r="O123" s="3471">
        <f t="shared" si="91"/>
        <v>330655086.30124086</v>
      </c>
      <c r="P123" s="3471">
        <f t="shared" si="91"/>
        <v>266979046.58636993</v>
      </c>
      <c r="Q123" s="3471">
        <f t="shared" si="91"/>
        <v>204310966.95039392</v>
      </c>
      <c r="R123" s="3471">
        <f t="shared" si="91"/>
        <v>145191931.49534929</v>
      </c>
      <c r="S123" s="3471">
        <f t="shared" si="91"/>
        <v>89607470.679139599</v>
      </c>
      <c r="T123" s="3471">
        <f t="shared" si="91"/>
        <v>55533218.975997843</v>
      </c>
      <c r="U123" s="3471">
        <f t="shared" si="91"/>
        <v>32849235.114925437</v>
      </c>
      <c r="V123" s="3471">
        <f t="shared" si="91"/>
        <v>14226360.871841365</v>
      </c>
      <c r="W123" s="3471">
        <f t="shared" si="91"/>
        <v>6094353.3897799617</v>
      </c>
      <c r="X123" s="3471">
        <f t="shared" si="91"/>
        <v>609000.00000002701</v>
      </c>
      <c r="Y123" s="3471">
        <f t="shared" si="91"/>
        <v>0</v>
      </c>
      <c r="Z123" s="3471">
        <f t="shared" si="91"/>
        <v>0</v>
      </c>
      <c r="AA123" s="3471">
        <f t="shared" si="91"/>
        <v>0</v>
      </c>
    </row>
    <row r="124" spans="1:27">
      <c r="B124" s="3265" t="s">
        <v>899</v>
      </c>
      <c r="C124" s="3471">
        <f>SUM(C7:C9)+SUM(C14:C19)+SUM(C24:C26)+SUM(C31:C32)+SUM(C37:C50)+SUM(C55:C56)+SUM(C61:C62)+C67+SUM(C72:C73)+SUM(C78:C83)+C88+C93+C104+SUM(C109:C110)+SUM(C115:C119)+SUM(C98:C99)</f>
        <v>0</v>
      </c>
      <c r="D124" s="3471">
        <f t="shared" ref="D124" si="92">SUM(D7:D9)+SUM(D14:D19)+SUM(D24:D26)+SUM(D31:D32)+SUM(D37:D50)+SUM(D55:D56)+SUM(D61:D62)+D67+SUM(D72:D73)+SUM(D78:D83)+D88+D93+D104+SUM(D109:D110)+SUM(D115:D119)+SUM(D98:D99)</f>
        <v>0</v>
      </c>
      <c r="E124" s="3471">
        <f>SUM(E7:E9)+SUM(E14:E19)+SUM(E24:E26)+E32+SUM(E37:E50)+SUM(E55:E56)+SUM(E61:E62)+E67+SUM(E72:E73)+SUM(E78:E83)+E88+E93+E104+SUM(E109:E110)+SUM(E115:E119)+SUM(E98:E99)</f>
        <v>0</v>
      </c>
      <c r="F124" s="3471">
        <f t="shared" ref="F124:AA124" si="93">SUM(F7:F9)+SUM(F14:F19)+SUM(F24:F26)+F32+SUM(F37:F50)+SUM(F55:F56)+SUM(F61:F62)+F67+SUM(F72:F73)+SUM(F78:F83)+F88+F93+F104+SUM(F109:F110)+SUM(F115:F119)+SUM(F98:F99)</f>
        <v>167778557.15788716</v>
      </c>
      <c r="G124" s="3471">
        <f t="shared" si="93"/>
        <v>162681890.60235286</v>
      </c>
      <c r="H124" s="3471">
        <f t="shared" si="93"/>
        <v>157292165.71987534</v>
      </c>
      <c r="I124" s="3471">
        <f t="shared" si="93"/>
        <v>151592531.65665531</v>
      </c>
      <c r="J124" s="3471">
        <f t="shared" si="93"/>
        <v>145565168.63480017</v>
      </c>
      <c r="K124" s="3471">
        <f t="shared" si="93"/>
        <v>139191232.23918834</v>
      </c>
      <c r="L124" s="3471">
        <f t="shared" si="93"/>
        <v>132450794.50082883</v>
      </c>
      <c r="M124" s="3471">
        <f t="shared" si="93"/>
        <v>125322781.59251365</v>
      </c>
      <c r="N124" s="3471">
        <f t="shared" si="93"/>
        <v>117784907.94197035</v>
      </c>
      <c r="O124" s="3471">
        <f t="shared" si="93"/>
        <v>109813606.5565208</v>
      </c>
      <c r="P124" s="3471">
        <f t="shared" si="93"/>
        <v>101383955.3414079</v>
      </c>
      <c r="Q124" s="3471">
        <f t="shared" si="93"/>
        <v>92469599.181426004</v>
      </c>
      <c r="R124" s="3471">
        <f t="shared" si="93"/>
        <v>83042667.54224515</v>
      </c>
      <c r="S124" s="3471">
        <f t="shared" si="93"/>
        <v>73073687.333811402</v>
      </c>
      <c r="T124" s="3471">
        <f t="shared" si="93"/>
        <v>62531490.763392717</v>
      </c>
      <c r="U124" s="3471">
        <f t="shared" si="93"/>
        <v>51383117.89017494</v>
      </c>
      <c r="V124" s="3471">
        <f t="shared" si="93"/>
        <v>39593713.576747157</v>
      </c>
      <c r="W124" s="3471">
        <f t="shared" si="93"/>
        <v>27126418.515297268</v>
      </c>
      <c r="X124" s="3471">
        <f t="shared" si="93"/>
        <v>13942253.987814009</v>
      </c>
      <c r="Y124" s="3471">
        <f t="shared" si="93"/>
        <v>4.6280911192297935E-7</v>
      </c>
      <c r="Z124" s="3471">
        <f t="shared" si="93"/>
        <v>-2024536.9220928198</v>
      </c>
      <c r="AA124" s="3471">
        <f t="shared" si="93"/>
        <v>0</v>
      </c>
    </row>
    <row r="125" spans="1:27">
      <c r="B125" s="3265" t="s">
        <v>898</v>
      </c>
      <c r="C125" s="3471">
        <f>C123+C124</f>
        <v>1299049934</v>
      </c>
      <c r="D125" s="3471">
        <f t="shared" ref="D125:AA125" si="94">D123+D124</f>
        <v>1249101717</v>
      </c>
      <c r="E125" s="3471">
        <f t="shared" si="94"/>
        <v>1178470605.0553076</v>
      </c>
      <c r="F125" s="3471">
        <f t="shared" si="94"/>
        <v>1257134184.3731329</v>
      </c>
      <c r="G125" s="3471">
        <f t="shared" si="94"/>
        <v>1190833063.5152829</v>
      </c>
      <c r="H125" s="3471">
        <f t="shared" si="94"/>
        <v>1063566587.1306065</v>
      </c>
      <c r="I125" s="3471">
        <f t="shared" si="94"/>
        <v>966808282.18881118</v>
      </c>
      <c r="J125" s="3471">
        <f t="shared" si="94"/>
        <v>869796734.56036282</v>
      </c>
      <c r="K125" s="3471">
        <f t="shared" si="94"/>
        <v>777135790.86577845</v>
      </c>
      <c r="L125" s="3471">
        <f t="shared" si="94"/>
        <v>687526863.86625564</v>
      </c>
      <c r="M125" s="3471">
        <f t="shared" si="94"/>
        <v>595919106.1967603</v>
      </c>
      <c r="N125" s="3471">
        <f t="shared" si="94"/>
        <v>517816052.23126882</v>
      </c>
      <c r="O125" s="3471">
        <f t="shared" si="94"/>
        <v>440468692.85776168</v>
      </c>
      <c r="P125" s="3471">
        <f t="shared" si="94"/>
        <v>368363001.92777783</v>
      </c>
      <c r="Q125" s="3471">
        <f t="shared" si="94"/>
        <v>296780566.1318199</v>
      </c>
      <c r="R125" s="3471">
        <f t="shared" si="94"/>
        <v>228234599.03759444</v>
      </c>
      <c r="S125" s="3471">
        <f t="shared" si="94"/>
        <v>162681158.01295102</v>
      </c>
      <c r="T125" s="3471">
        <f t="shared" si="94"/>
        <v>118064709.73939055</v>
      </c>
      <c r="U125" s="3471">
        <f t="shared" si="94"/>
        <v>84232353.005100369</v>
      </c>
      <c r="V125" s="3471">
        <f t="shared" si="94"/>
        <v>53820074.44858852</v>
      </c>
      <c r="W125" s="3471">
        <f t="shared" si="94"/>
        <v>33220771.90507723</v>
      </c>
      <c r="X125" s="3471">
        <f t="shared" si="94"/>
        <v>14551253.987814035</v>
      </c>
      <c r="Y125" s="3471">
        <f t="shared" si="94"/>
        <v>4.6280911192297935E-7</v>
      </c>
      <c r="Z125" s="3471">
        <f t="shared" si="94"/>
        <v>-2024536.9220928198</v>
      </c>
      <c r="AA125" s="3471">
        <f t="shared" si="94"/>
        <v>0</v>
      </c>
    </row>
  </sheetData>
  <pageMargins left="0.7" right="0.7" top="0.75" bottom="0.75" header="0.3" footer="0.3"/>
  <pageSetup orientation="portrait" r:id="rId1"/>
  <headerFooter>
    <oddFooter>&amp;LHouse Ways and Means Cmte Amendment 1001 2-14-13&amp;R&amp;D</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zoomScaleNormal="100" workbookViewId="0">
      <selection activeCell="A3" sqref="A3"/>
    </sheetView>
  </sheetViews>
  <sheetFormatPr defaultColWidth="9.109375" defaultRowHeight="14.4"/>
  <cols>
    <col min="1" max="1" width="32" style="4088" customWidth="1"/>
    <col min="2" max="2" width="17.33203125" style="4088" bestFit="1" customWidth="1"/>
    <col min="3" max="3" width="18.88671875" style="4088" bestFit="1" customWidth="1"/>
    <col min="4" max="4" width="14.33203125" style="4088" bestFit="1" customWidth="1"/>
    <col min="5" max="5" width="13.33203125" style="4088" customWidth="1"/>
    <col min="6" max="6" width="14.5546875" style="4088" bestFit="1" customWidth="1"/>
    <col min="7" max="8" width="14.5546875" style="4088" customWidth="1"/>
    <col min="9" max="9" width="14.5546875" style="4088" hidden="1" customWidth="1"/>
    <col min="10" max="10" width="13.6640625" style="4088" hidden="1" customWidth="1"/>
    <col min="11" max="11" width="15.33203125" style="4088" hidden="1" customWidth="1"/>
    <col min="12" max="12" width="16.44140625" style="4321" bestFit="1" customWidth="1"/>
    <col min="13" max="14" width="14.6640625" style="4321" bestFit="1" customWidth="1"/>
    <col min="15" max="16384" width="9.109375" style="4088"/>
  </cols>
  <sheetData>
    <row r="1" spans="1:14">
      <c r="A1" s="4107" t="s">
        <v>358</v>
      </c>
    </row>
    <row r="2" spans="1:14">
      <c r="A2" s="4088" t="s">
        <v>713</v>
      </c>
    </row>
    <row r="3" spans="1:14" ht="15.6">
      <c r="A3" s="4417" t="s">
        <v>970</v>
      </c>
    </row>
    <row r="4" spans="1:14" ht="15" thickBot="1"/>
    <row r="5" spans="1:14" ht="15.6" thickTop="1" thickBot="1">
      <c r="A5" s="4494" t="s">
        <v>714</v>
      </c>
      <c r="B5" s="4495"/>
      <c r="C5" s="4495"/>
      <c r="D5" s="4495"/>
      <c r="E5" s="4495"/>
      <c r="F5" s="4495"/>
      <c r="G5" s="4495"/>
      <c r="H5" s="4495"/>
      <c r="I5" s="4495"/>
      <c r="J5" s="4495"/>
      <c r="K5" s="4496"/>
      <c r="L5" s="4108" t="s">
        <v>689</v>
      </c>
      <c r="M5" s="4109" t="s">
        <v>690</v>
      </c>
    </row>
    <row r="6" spans="1:14" ht="29.4" thickBot="1">
      <c r="A6" s="4110" t="s">
        <v>691</v>
      </c>
      <c r="B6" s="4111" t="s">
        <v>692</v>
      </c>
      <c r="C6" s="4111" t="s">
        <v>693</v>
      </c>
      <c r="D6" s="4112" t="s">
        <v>694</v>
      </c>
      <c r="E6" s="4111" t="s">
        <v>695</v>
      </c>
      <c r="F6" s="4113" t="s">
        <v>696</v>
      </c>
      <c r="G6" s="4333">
        <v>2014</v>
      </c>
      <c r="H6" s="4333">
        <v>2015</v>
      </c>
      <c r="I6" s="4110" t="s">
        <v>697</v>
      </c>
      <c r="J6" s="4111" t="s">
        <v>698</v>
      </c>
      <c r="K6" s="4114" t="s">
        <v>699</v>
      </c>
      <c r="L6" s="4323">
        <v>5.0000000000000001E-3</v>
      </c>
      <c r="M6" s="4325">
        <v>5.0000000000000001E-3</v>
      </c>
    </row>
    <row r="7" spans="1:14">
      <c r="A7" s="4115" t="s">
        <v>224</v>
      </c>
      <c r="B7" s="4089">
        <v>754741328.77269149</v>
      </c>
      <c r="C7" s="4089">
        <v>197009737.37800002</v>
      </c>
      <c r="D7" s="4093">
        <f>$L$6*B7</f>
        <v>3773706.6438634577</v>
      </c>
      <c r="E7" s="4089">
        <f>$M$6*C7</f>
        <v>985048.68689000013</v>
      </c>
      <c r="F7" s="4090">
        <f>IF(L7=1,(D7+E7),0)</f>
        <v>4758755.3307534577</v>
      </c>
      <c r="G7" s="4089">
        <f>IF(L7=1,($F7*$M7),0)</f>
        <v>2379377.6653767289</v>
      </c>
      <c r="H7" s="4089">
        <f>IF(L7=1,($F7*$N7),0)</f>
        <v>2379377.6653767289</v>
      </c>
      <c r="I7" s="4091">
        <f>D7*2</f>
        <v>7547413.2877269154</v>
      </c>
      <c r="J7" s="4092">
        <f>E7*2</f>
        <v>1970097.3737800003</v>
      </c>
      <c r="K7" s="4116">
        <f>I7+J7</f>
        <v>9517510.6615069155</v>
      </c>
      <c r="L7" s="4321">
        <v>1</v>
      </c>
      <c r="M7" s="4326">
        <v>0.5</v>
      </c>
      <c r="N7" s="4326">
        <v>0.5</v>
      </c>
    </row>
    <row r="8" spans="1:14">
      <c r="A8" s="4117"/>
      <c r="B8" s="4089"/>
      <c r="C8" s="4089"/>
      <c r="D8" s="4093"/>
      <c r="E8" s="4089"/>
      <c r="F8" s="4090"/>
      <c r="G8" s="4089"/>
      <c r="H8" s="4089"/>
      <c r="I8" s="4093"/>
      <c r="J8" s="4089"/>
      <c r="K8" s="4118"/>
      <c r="M8" s="4326"/>
      <c r="N8" s="4326"/>
    </row>
    <row r="9" spans="1:14">
      <c r="A9" s="4115" t="s">
        <v>217</v>
      </c>
      <c r="B9" s="4089">
        <v>463924665.02540225</v>
      </c>
      <c r="C9" s="4089">
        <v>81229281</v>
      </c>
      <c r="D9" s="4093">
        <f t="shared" ref="D9:D32" si="0">$L$6*B9</f>
        <v>2319623.3251270112</v>
      </c>
      <c r="E9" s="4089">
        <f t="shared" ref="E9:E32" si="1">$M$6*C9</f>
        <v>406146.40500000003</v>
      </c>
      <c r="F9" s="4090">
        <f>IF(L9=1,(D9+E9),0)</f>
        <v>2725769.7301270114</v>
      </c>
      <c r="G9" s="4089">
        <f>IF(L9=1,($F9*$M9),0)</f>
        <v>1362884.8650635057</v>
      </c>
      <c r="H9" s="4089">
        <f>IF(L9=1,($F9*$N9),0)</f>
        <v>1362884.8650635057</v>
      </c>
      <c r="I9" s="4093">
        <f>D9*2</f>
        <v>4639246.6502540223</v>
      </c>
      <c r="J9" s="4089">
        <f>E9*2</f>
        <v>812292.81</v>
      </c>
      <c r="K9" s="4118">
        <f t="shared" ref="K9:K34" si="2">I9+J9</f>
        <v>5451539.4602540229</v>
      </c>
      <c r="L9" s="4321">
        <v>1</v>
      </c>
      <c r="M9" s="4326">
        <v>0.5</v>
      </c>
      <c r="N9" s="4326">
        <v>0.5</v>
      </c>
    </row>
    <row r="10" spans="1:14">
      <c r="A10" s="4117"/>
      <c r="B10" s="4089"/>
      <c r="C10" s="4089"/>
      <c r="D10" s="4093"/>
      <c r="E10" s="4089"/>
      <c r="F10" s="4090"/>
      <c r="G10" s="4089"/>
      <c r="H10" s="4089"/>
      <c r="I10" s="4093"/>
      <c r="J10" s="4089"/>
      <c r="K10" s="4118"/>
      <c r="M10" s="4326"/>
      <c r="N10" s="4326"/>
    </row>
    <row r="11" spans="1:14">
      <c r="A11" s="4115" t="s">
        <v>401</v>
      </c>
      <c r="B11" s="4089">
        <v>986454340.60836422</v>
      </c>
      <c r="C11" s="4089">
        <v>25683255.618184429</v>
      </c>
      <c r="D11" s="4093">
        <f t="shared" si="0"/>
        <v>4932271.7030418208</v>
      </c>
      <c r="E11" s="4089">
        <f t="shared" si="1"/>
        <v>128416.27809092215</v>
      </c>
      <c r="F11" s="4090">
        <f>IF(L11=1,(D11+E11),0)</f>
        <v>5060687.9811327429</v>
      </c>
      <c r="G11" s="4089">
        <f>IF(L11=1,($F11*$M11),0)</f>
        <v>2530343.9905663715</v>
      </c>
      <c r="H11" s="4089">
        <f>IF(L11=1,($F11*$N11),0)</f>
        <v>2530343.9905663715</v>
      </c>
      <c r="I11" s="4093">
        <f>D11*2</f>
        <v>9864543.4060836416</v>
      </c>
      <c r="J11" s="4089">
        <f>E11*2</f>
        <v>256832.55618184429</v>
      </c>
      <c r="K11" s="4118">
        <f t="shared" si="2"/>
        <v>10121375.962265486</v>
      </c>
      <c r="L11" s="4321">
        <v>1</v>
      </c>
      <c r="M11" s="4326">
        <v>0.5</v>
      </c>
      <c r="N11" s="4326">
        <v>0.5</v>
      </c>
    </row>
    <row r="12" spans="1:14">
      <c r="A12" s="4117"/>
      <c r="B12" s="4089"/>
      <c r="C12" s="4089"/>
      <c r="D12" s="4093"/>
      <c r="E12" s="4089"/>
      <c r="F12" s="4090"/>
      <c r="G12" s="4089"/>
      <c r="H12" s="4089"/>
      <c r="I12" s="4093"/>
      <c r="J12" s="4089"/>
      <c r="K12" s="4118"/>
      <c r="M12" s="4326"/>
      <c r="N12" s="4326"/>
    </row>
    <row r="13" spans="1:14">
      <c r="A13" s="4119" t="s">
        <v>393</v>
      </c>
      <c r="B13" s="4089"/>
      <c r="C13" s="4089"/>
      <c r="D13" s="4093"/>
      <c r="E13" s="4089"/>
      <c r="F13" s="4090"/>
      <c r="G13" s="4089"/>
      <c r="H13" s="4089"/>
      <c r="I13" s="4093"/>
      <c r="J13" s="4089"/>
      <c r="K13" s="4118"/>
      <c r="M13" s="4326"/>
      <c r="N13" s="4326"/>
    </row>
    <row r="14" spans="1:14">
      <c r="A14" s="4117" t="s">
        <v>194</v>
      </c>
      <c r="B14" s="4089">
        <v>1951477780.5072637</v>
      </c>
      <c r="C14" s="4089">
        <v>244074504.43910006</v>
      </c>
      <c r="D14" s="4093">
        <f>$L$6*B14</f>
        <v>9757388.9025363177</v>
      </c>
      <c r="E14" s="4089">
        <f t="shared" si="1"/>
        <v>1220372.5221955003</v>
      </c>
      <c r="F14" s="4090">
        <f t="shared" ref="F14:F20" si="3">IF(L14=1,(D14+E14),0)</f>
        <v>10977761.424731817</v>
      </c>
      <c r="G14" s="4089">
        <f t="shared" ref="G14:G20" si="4">IF(L14=1,($F14*$M14),0)</f>
        <v>5488880.7123659085</v>
      </c>
      <c r="H14" s="4089">
        <f t="shared" ref="H14:H20" si="5">IF(L14=1,($F14*$N14),0)</f>
        <v>5488880.7123659085</v>
      </c>
      <c r="I14" s="4093">
        <f t="shared" ref="I14:J21" si="6">D14*2</f>
        <v>19514777.805072635</v>
      </c>
      <c r="J14" s="4089">
        <f t="shared" si="6"/>
        <v>2440745.0443910006</v>
      </c>
      <c r="K14" s="4118">
        <f t="shared" si="2"/>
        <v>21955522.849463634</v>
      </c>
      <c r="L14" s="4321">
        <v>1</v>
      </c>
      <c r="M14" s="4326">
        <v>0.5</v>
      </c>
      <c r="N14" s="4326">
        <v>0.5</v>
      </c>
    </row>
    <row r="15" spans="1:14">
      <c r="A15" s="4117" t="s">
        <v>195</v>
      </c>
      <c r="B15" s="4089">
        <v>65414243.246486664</v>
      </c>
      <c r="C15" s="4089">
        <v>7925501.7761000013</v>
      </c>
      <c r="D15" s="4093">
        <f t="shared" si="0"/>
        <v>327071.21623243333</v>
      </c>
      <c r="E15" s="4089">
        <f t="shared" si="1"/>
        <v>39627.508880500005</v>
      </c>
      <c r="F15" s="4090">
        <f t="shared" si="3"/>
        <v>366698.72511293332</v>
      </c>
      <c r="G15" s="4089">
        <f t="shared" si="4"/>
        <v>183349.36255646666</v>
      </c>
      <c r="H15" s="4089">
        <f t="shared" si="5"/>
        <v>183349.36255646666</v>
      </c>
      <c r="I15" s="4093">
        <f t="shared" si="6"/>
        <v>654142.43246486667</v>
      </c>
      <c r="J15" s="4089">
        <f t="shared" si="6"/>
        <v>79255.01776100001</v>
      </c>
      <c r="K15" s="4118">
        <f t="shared" si="2"/>
        <v>733397.45022586663</v>
      </c>
      <c r="L15" s="4321">
        <v>1</v>
      </c>
      <c r="M15" s="4326">
        <v>0.5</v>
      </c>
      <c r="N15" s="4326">
        <v>0.5</v>
      </c>
    </row>
    <row r="16" spans="1:14">
      <c r="A16" s="4117" t="s">
        <v>196</v>
      </c>
      <c r="B16" s="4089">
        <v>90760802.8071132</v>
      </c>
      <c r="C16" s="4089">
        <v>5985040.8081</v>
      </c>
      <c r="D16" s="4093">
        <f t="shared" si="0"/>
        <v>453804.01403556601</v>
      </c>
      <c r="E16" s="4089">
        <f t="shared" si="1"/>
        <v>29925.204040500001</v>
      </c>
      <c r="F16" s="4090">
        <f t="shared" si="3"/>
        <v>483729.218076066</v>
      </c>
      <c r="G16" s="4089">
        <f t="shared" si="4"/>
        <v>241864.609038033</v>
      </c>
      <c r="H16" s="4089">
        <f t="shared" si="5"/>
        <v>241864.609038033</v>
      </c>
      <c r="I16" s="4093">
        <f t="shared" si="6"/>
        <v>907608.02807113202</v>
      </c>
      <c r="J16" s="4089">
        <f t="shared" si="6"/>
        <v>59850.408081000001</v>
      </c>
      <c r="K16" s="4118">
        <f t="shared" si="2"/>
        <v>967458.436152132</v>
      </c>
      <c r="L16" s="4321">
        <v>1</v>
      </c>
      <c r="M16" s="4326">
        <v>0.5</v>
      </c>
      <c r="N16" s="4326">
        <v>0.5</v>
      </c>
    </row>
    <row r="17" spans="1:14">
      <c r="A17" s="4117" t="s">
        <v>485</v>
      </c>
      <c r="B17" s="4089">
        <v>1603898125.4752164</v>
      </c>
      <c r="C17" s="4089">
        <v>64009400.396200016</v>
      </c>
      <c r="D17" s="4093">
        <f t="shared" si="0"/>
        <v>8019490.6273760824</v>
      </c>
      <c r="E17" s="4089">
        <f t="shared" si="1"/>
        <v>320047.00198100007</v>
      </c>
      <c r="F17" s="4090">
        <f t="shared" si="3"/>
        <v>8339537.6293570828</v>
      </c>
      <c r="G17" s="4089">
        <f t="shared" si="4"/>
        <v>4169768.8146785414</v>
      </c>
      <c r="H17" s="4089">
        <f t="shared" si="5"/>
        <v>4169768.8146785414</v>
      </c>
      <c r="I17" s="4093">
        <f t="shared" si="6"/>
        <v>16038981.254752165</v>
      </c>
      <c r="J17" s="4089">
        <f t="shared" si="6"/>
        <v>640094.00396200013</v>
      </c>
      <c r="K17" s="4118">
        <f t="shared" si="2"/>
        <v>16679075.258714166</v>
      </c>
      <c r="L17" s="4321">
        <v>1</v>
      </c>
      <c r="M17" s="4326">
        <v>0.5</v>
      </c>
      <c r="N17" s="4326">
        <v>0.5</v>
      </c>
    </row>
    <row r="18" spans="1:14">
      <c r="A18" s="4117" t="s">
        <v>197</v>
      </c>
      <c r="B18" s="4089">
        <v>174235611.69971099</v>
      </c>
      <c r="C18" s="4089">
        <v>11785837.894099999</v>
      </c>
      <c r="D18" s="4093">
        <f t="shared" si="0"/>
        <v>871178.05849855498</v>
      </c>
      <c r="E18" s="4089">
        <f t="shared" si="1"/>
        <v>58929.189470499994</v>
      </c>
      <c r="F18" s="4090">
        <f t="shared" si="3"/>
        <v>930107.24796905497</v>
      </c>
      <c r="G18" s="4089">
        <f t="shared" si="4"/>
        <v>465053.62398452748</v>
      </c>
      <c r="H18" s="4089">
        <f t="shared" si="5"/>
        <v>465053.62398452748</v>
      </c>
      <c r="I18" s="4093">
        <f t="shared" si="6"/>
        <v>1742356.11699711</v>
      </c>
      <c r="J18" s="4089">
        <f t="shared" si="6"/>
        <v>117858.37894099999</v>
      </c>
      <c r="K18" s="4118">
        <f t="shared" si="2"/>
        <v>1860214.4959381099</v>
      </c>
      <c r="L18" s="4321">
        <v>1</v>
      </c>
      <c r="M18" s="4326">
        <v>0.5</v>
      </c>
      <c r="N18" s="4326">
        <v>0.5</v>
      </c>
    </row>
    <row r="19" spans="1:14">
      <c r="A19" s="4117" t="s">
        <v>198</v>
      </c>
      <c r="B19" s="4089">
        <v>179080011.01036477</v>
      </c>
      <c r="C19" s="4089">
        <v>10099647.302900003</v>
      </c>
      <c r="D19" s="4093">
        <f t="shared" si="0"/>
        <v>895400.05505182385</v>
      </c>
      <c r="E19" s="4089">
        <f t="shared" si="1"/>
        <v>50498.236514500015</v>
      </c>
      <c r="F19" s="4090">
        <f t="shared" si="3"/>
        <v>945898.29156632384</v>
      </c>
      <c r="G19" s="4089">
        <f t="shared" si="4"/>
        <v>472949.14578316192</v>
      </c>
      <c r="H19" s="4089">
        <f t="shared" si="5"/>
        <v>472949.14578316192</v>
      </c>
      <c r="I19" s="4093">
        <f t="shared" si="6"/>
        <v>1790800.1101036477</v>
      </c>
      <c r="J19" s="4089">
        <f t="shared" si="6"/>
        <v>100996.47302900003</v>
      </c>
      <c r="K19" s="4118">
        <f t="shared" si="2"/>
        <v>1891796.5831326477</v>
      </c>
      <c r="L19" s="4321">
        <v>1</v>
      </c>
      <c r="M19" s="4326">
        <v>0.5</v>
      </c>
      <c r="N19" s="4326">
        <v>0.5</v>
      </c>
    </row>
    <row r="20" spans="1:14">
      <c r="A20" s="4117" t="s">
        <v>199</v>
      </c>
      <c r="B20" s="4089">
        <v>156946543.7915141</v>
      </c>
      <c r="C20" s="4089">
        <v>16826146.024800003</v>
      </c>
      <c r="D20" s="4093">
        <f t="shared" si="0"/>
        <v>784732.7189575705</v>
      </c>
      <c r="E20" s="4089">
        <f t="shared" si="1"/>
        <v>84130.730124000009</v>
      </c>
      <c r="F20" s="4090">
        <f t="shared" si="3"/>
        <v>868863.44908157049</v>
      </c>
      <c r="G20" s="4089">
        <f t="shared" si="4"/>
        <v>434431.72454078525</v>
      </c>
      <c r="H20" s="4089">
        <f t="shared" si="5"/>
        <v>434431.72454078525</v>
      </c>
      <c r="I20" s="4093">
        <f t="shared" si="6"/>
        <v>1569465.437915141</v>
      </c>
      <c r="J20" s="4089">
        <f t="shared" si="6"/>
        <v>168261.46024800002</v>
      </c>
      <c r="K20" s="4118">
        <f t="shared" si="2"/>
        <v>1737726.898163141</v>
      </c>
      <c r="L20" s="4321">
        <v>1</v>
      </c>
      <c r="M20" s="4326">
        <v>0.5</v>
      </c>
      <c r="N20" s="4326">
        <v>0.5</v>
      </c>
    </row>
    <row r="21" spans="1:14" s="4107" customFormat="1">
      <c r="A21" s="4115" t="s">
        <v>700</v>
      </c>
      <c r="B21" s="4094">
        <f>SUM(B14:B20)</f>
        <v>4221813118.5376697</v>
      </c>
      <c r="C21" s="4094">
        <f>SUM(C14:C20)</f>
        <v>360706078.64130008</v>
      </c>
      <c r="D21" s="4096">
        <f>$L$6*B21</f>
        <v>21109065.592688348</v>
      </c>
      <c r="E21" s="4094">
        <f t="shared" si="1"/>
        <v>1803530.3932065004</v>
      </c>
      <c r="F21" s="4095">
        <f>D21+E21</f>
        <v>22912595.985894848</v>
      </c>
      <c r="G21" s="4094">
        <f t="shared" ref="G21:H21" si="7">SUM(G14:G20)</f>
        <v>11456297.992947424</v>
      </c>
      <c r="H21" s="4094">
        <f t="shared" si="7"/>
        <v>11456297.992947424</v>
      </c>
      <c r="I21" s="4096">
        <f t="shared" si="6"/>
        <v>42218131.185376696</v>
      </c>
      <c r="J21" s="4094">
        <f t="shared" si="6"/>
        <v>3607060.7864130009</v>
      </c>
      <c r="K21" s="4120">
        <f t="shared" si="2"/>
        <v>45825191.971789695</v>
      </c>
      <c r="L21" s="4322"/>
      <c r="M21" s="4327"/>
      <c r="N21" s="4327"/>
    </row>
    <row r="22" spans="1:14">
      <c r="A22" s="4117"/>
      <c r="B22" s="4089"/>
      <c r="C22" s="4089"/>
      <c r="D22" s="4093"/>
      <c r="E22" s="4089"/>
      <c r="F22" s="4090"/>
      <c r="G22" s="4089"/>
      <c r="H22" s="4089"/>
      <c r="I22" s="4093"/>
      <c r="J22" s="4089"/>
      <c r="K22" s="4118"/>
      <c r="M22" s="4326"/>
      <c r="N22" s="4326"/>
    </row>
    <row r="23" spans="1:14">
      <c r="A23" s="4119" t="s">
        <v>395</v>
      </c>
      <c r="B23" s="4089"/>
      <c r="C23" s="4089"/>
      <c r="D23" s="4093"/>
      <c r="E23" s="4089"/>
      <c r="F23" s="4090"/>
      <c r="G23" s="4089"/>
      <c r="H23" s="4089"/>
      <c r="I23" s="4093"/>
      <c r="J23" s="4089"/>
      <c r="K23" s="4118"/>
      <c r="M23" s="4326"/>
      <c r="N23" s="4326"/>
    </row>
    <row r="24" spans="1:14">
      <c r="A24" s="4117" t="s">
        <v>397</v>
      </c>
      <c r="B24" s="4089">
        <v>223072910.85528398</v>
      </c>
      <c r="C24" s="4089">
        <v>37684662.670737445</v>
      </c>
      <c r="D24" s="4093">
        <f t="shared" si="0"/>
        <v>1115364.5542764198</v>
      </c>
      <c r="E24" s="4089">
        <f t="shared" si="1"/>
        <v>188423.31335368723</v>
      </c>
      <c r="F24" s="4090">
        <f t="shared" ref="F24:F27" si="8">IF(L24=1,(D24+E24),0)</f>
        <v>1303787.8676301071</v>
      </c>
      <c r="G24" s="4089">
        <f t="shared" ref="G24:G27" si="9">IF(L24=1,($F24*$M24),0)</f>
        <v>651893.93381505355</v>
      </c>
      <c r="H24" s="4089">
        <f t="shared" ref="H24:H27" si="10">IF(L24=1,($F24*$N24),0)</f>
        <v>651893.93381505355</v>
      </c>
      <c r="I24" s="4093">
        <f t="shared" ref="I24:J28" si="11">D24*2</f>
        <v>2230729.1085528396</v>
      </c>
      <c r="J24" s="4089">
        <f t="shared" si="11"/>
        <v>376846.62670737447</v>
      </c>
      <c r="K24" s="4118">
        <f t="shared" si="2"/>
        <v>2607575.7352602142</v>
      </c>
      <c r="L24" s="4321">
        <v>1</v>
      </c>
      <c r="M24" s="4326">
        <v>0.5</v>
      </c>
      <c r="N24" s="4326">
        <v>0.5</v>
      </c>
    </row>
    <row r="25" spans="1:14">
      <c r="A25" s="4117" t="s">
        <v>272</v>
      </c>
      <c r="B25" s="4089">
        <v>314179082.29886836</v>
      </c>
      <c r="C25" s="4089">
        <v>32551126</v>
      </c>
      <c r="D25" s="4093">
        <f t="shared" si="0"/>
        <v>1570895.4114943419</v>
      </c>
      <c r="E25" s="4089">
        <f t="shared" si="1"/>
        <v>162755.63</v>
      </c>
      <c r="F25" s="4090">
        <f t="shared" si="8"/>
        <v>1733651.041494342</v>
      </c>
      <c r="G25" s="4089">
        <f t="shared" si="9"/>
        <v>866825.52074717102</v>
      </c>
      <c r="H25" s="4089">
        <f t="shared" si="10"/>
        <v>866825.52074717102</v>
      </c>
      <c r="I25" s="4093">
        <f t="shared" si="11"/>
        <v>3141790.8229886838</v>
      </c>
      <c r="J25" s="4089">
        <f t="shared" si="11"/>
        <v>325511.26</v>
      </c>
      <c r="K25" s="4118">
        <f t="shared" si="2"/>
        <v>3467302.0829886841</v>
      </c>
      <c r="L25" s="4321">
        <v>1</v>
      </c>
      <c r="M25" s="4326">
        <v>0.5</v>
      </c>
      <c r="N25" s="4326">
        <v>0.5</v>
      </c>
    </row>
    <row r="26" spans="1:14">
      <c r="A26" s="4117" t="s">
        <v>398</v>
      </c>
      <c r="B26" s="4089">
        <v>86861752.632186532</v>
      </c>
      <c r="C26" s="4089">
        <v>8173233</v>
      </c>
      <c r="D26" s="4093">
        <f t="shared" si="0"/>
        <v>434308.76316093269</v>
      </c>
      <c r="E26" s="4089">
        <f t="shared" si="1"/>
        <v>40866.165000000001</v>
      </c>
      <c r="F26" s="4090">
        <f t="shared" si="8"/>
        <v>475174.92816093267</v>
      </c>
      <c r="G26" s="4089">
        <f t="shared" si="9"/>
        <v>237587.46408046634</v>
      </c>
      <c r="H26" s="4089">
        <f t="shared" si="10"/>
        <v>237587.46408046634</v>
      </c>
      <c r="I26" s="4093">
        <f t="shared" si="11"/>
        <v>868617.52632186539</v>
      </c>
      <c r="J26" s="4089">
        <f t="shared" si="11"/>
        <v>81732.33</v>
      </c>
      <c r="K26" s="4118">
        <f t="shared" si="2"/>
        <v>950349.85632186534</v>
      </c>
      <c r="L26" s="4321">
        <v>1</v>
      </c>
      <c r="M26" s="4326">
        <v>0.5</v>
      </c>
      <c r="N26" s="4326">
        <v>0.5</v>
      </c>
    </row>
    <row r="27" spans="1:14">
      <c r="A27" s="4117" t="s">
        <v>396</v>
      </c>
      <c r="B27" s="4089">
        <v>2552384040.929781</v>
      </c>
      <c r="C27" s="4089">
        <v>451082880.69107741</v>
      </c>
      <c r="D27" s="4093">
        <f t="shared" si="0"/>
        <v>12761920.204648905</v>
      </c>
      <c r="E27" s="4089">
        <f t="shared" si="1"/>
        <v>2255414.4034553873</v>
      </c>
      <c r="F27" s="4090">
        <f t="shared" si="8"/>
        <v>15017334.608104292</v>
      </c>
      <c r="G27" s="4089">
        <f t="shared" si="9"/>
        <v>7508667.3040521462</v>
      </c>
      <c r="H27" s="4089">
        <f t="shared" si="10"/>
        <v>7508667.3040521462</v>
      </c>
      <c r="I27" s="4093">
        <f t="shared" si="11"/>
        <v>25523840.409297809</v>
      </c>
      <c r="J27" s="4089">
        <f t="shared" si="11"/>
        <v>4510828.8069107747</v>
      </c>
      <c r="K27" s="4118">
        <f>I27+J27</f>
        <v>30034669.216208585</v>
      </c>
      <c r="L27" s="4321">
        <v>1</v>
      </c>
      <c r="M27" s="4326">
        <v>0.5</v>
      </c>
      <c r="N27" s="4326">
        <v>0.5</v>
      </c>
    </row>
    <row r="28" spans="1:14" s="4107" customFormat="1">
      <c r="A28" s="4115" t="s">
        <v>701</v>
      </c>
      <c r="B28" s="4094">
        <f>SUM(B24:B27)</f>
        <v>3176497786.7161198</v>
      </c>
      <c r="C28" s="4094">
        <f>SUM(C24:C27)</f>
        <v>529491902.36181486</v>
      </c>
      <c r="D28" s="4096">
        <f t="shared" si="0"/>
        <v>15882488.9335806</v>
      </c>
      <c r="E28" s="4094">
        <f t="shared" si="1"/>
        <v>2647459.5118090743</v>
      </c>
      <c r="F28" s="4095">
        <f t="shared" ref="F28" si="12">D28+E28</f>
        <v>18529948.445389673</v>
      </c>
      <c r="G28" s="4094">
        <f t="shared" ref="G28:H28" si="13">SUM(G24:G27)</f>
        <v>9264974.2226948366</v>
      </c>
      <c r="H28" s="4094">
        <f t="shared" si="13"/>
        <v>9264974.2226948366</v>
      </c>
      <c r="I28" s="4096">
        <f t="shared" si="11"/>
        <v>31764977.867161199</v>
      </c>
      <c r="J28" s="4094">
        <f t="shared" si="11"/>
        <v>5294919.0236181486</v>
      </c>
      <c r="K28" s="4120">
        <f t="shared" si="2"/>
        <v>37059896.890779346</v>
      </c>
      <c r="L28" s="4322"/>
      <c r="M28" s="4327"/>
      <c r="N28" s="4327"/>
    </row>
    <row r="29" spans="1:14">
      <c r="A29" s="4117"/>
      <c r="B29" s="4089"/>
      <c r="C29" s="4089"/>
      <c r="D29" s="4093"/>
      <c r="E29" s="4089"/>
      <c r="F29" s="4090"/>
      <c r="G29" s="4089"/>
      <c r="H29" s="4089"/>
      <c r="I29" s="4093"/>
      <c r="J29" s="4089"/>
      <c r="K29" s="4118"/>
      <c r="M29" s="4326"/>
      <c r="N29" s="4326"/>
    </row>
    <row r="30" spans="1:14">
      <c r="A30" s="4115" t="s">
        <v>225</v>
      </c>
      <c r="B30" s="4089">
        <v>229993244.6531319</v>
      </c>
      <c r="C30" s="4089">
        <v>43591990</v>
      </c>
      <c r="D30" s="4093">
        <f t="shared" si="0"/>
        <v>1149966.2232656595</v>
      </c>
      <c r="E30" s="4089">
        <f t="shared" si="1"/>
        <v>217959.95</v>
      </c>
      <c r="F30" s="4090">
        <f>IF(L30=1,(D30+E30),0)</f>
        <v>1367926.1732656595</v>
      </c>
      <c r="G30" s="4089">
        <f>IF(L30=1,($F30*$M30),0)</f>
        <v>683963.08663282974</v>
      </c>
      <c r="H30" s="4089">
        <f>IF(L30=1,($F30*$N30),0)</f>
        <v>683963.08663282974</v>
      </c>
      <c r="I30" s="4093">
        <f>D30*2</f>
        <v>2299932.4465313191</v>
      </c>
      <c r="J30" s="4089">
        <f>E30*2</f>
        <v>435919.9</v>
      </c>
      <c r="K30" s="4118">
        <f t="shared" si="2"/>
        <v>2735852.346531319</v>
      </c>
      <c r="L30" s="4321">
        <v>1</v>
      </c>
      <c r="M30" s="4326">
        <v>0.5</v>
      </c>
      <c r="N30" s="4326">
        <v>0.5</v>
      </c>
    </row>
    <row r="31" spans="1:14">
      <c r="A31" s="4117"/>
      <c r="B31" s="4089"/>
      <c r="C31" s="4089"/>
      <c r="D31" s="4093"/>
      <c r="E31" s="4089"/>
      <c r="F31" s="4090"/>
      <c r="G31" s="4089"/>
      <c r="H31" s="4089"/>
      <c r="I31" s="4093"/>
      <c r="J31" s="4089"/>
      <c r="K31" s="4118"/>
      <c r="M31" s="4326"/>
      <c r="N31" s="4326"/>
    </row>
    <row r="32" spans="1:14">
      <c r="A32" s="4115" t="s">
        <v>256</v>
      </c>
      <c r="B32" s="4089">
        <v>300887714.40370733</v>
      </c>
      <c r="C32" s="4089">
        <v>25154359</v>
      </c>
      <c r="D32" s="4093">
        <f t="shared" si="0"/>
        <v>1504438.5720185367</v>
      </c>
      <c r="E32" s="4089">
        <f t="shared" si="1"/>
        <v>125771.795</v>
      </c>
      <c r="F32" s="4090">
        <f>IF(L32=1,(D32+E32),0)</f>
        <v>1630210.3670185367</v>
      </c>
      <c r="G32" s="4089">
        <f>IF(L32=1,($F32*$M32),0)</f>
        <v>815105.18350926833</v>
      </c>
      <c r="H32" s="4089">
        <f>IF(L32=1,($F32*$N32),0)</f>
        <v>815105.18350926833</v>
      </c>
      <c r="I32" s="4093">
        <f>D32*2</f>
        <v>3008877.1440370735</v>
      </c>
      <c r="J32" s="4089">
        <f>E32*2</f>
        <v>251543.59</v>
      </c>
      <c r="K32" s="4118">
        <f t="shared" si="2"/>
        <v>3260420.7340370733</v>
      </c>
      <c r="L32" s="4321">
        <v>1</v>
      </c>
      <c r="M32" s="4326">
        <v>0.5</v>
      </c>
      <c r="N32" s="4326">
        <v>0.5</v>
      </c>
    </row>
    <row r="33" spans="1:14">
      <c r="A33" s="4117"/>
      <c r="B33" s="4089"/>
      <c r="C33" s="4089"/>
      <c r="D33" s="4093"/>
      <c r="E33" s="4089"/>
      <c r="F33" s="4090"/>
      <c r="G33" s="4089"/>
      <c r="H33" s="4089"/>
      <c r="I33" s="4093"/>
      <c r="J33" s="4089"/>
      <c r="K33" s="4118"/>
    </row>
    <row r="34" spans="1:14" s="4107" customFormat="1" ht="15" thickBot="1">
      <c r="A34" s="4121" t="s">
        <v>702</v>
      </c>
      <c r="B34" s="4097">
        <f>B7+B9+B11+B21+B28+B30+B32</f>
        <v>10134312198.717087</v>
      </c>
      <c r="C34" s="4097">
        <f>C7+C9+C11+C21+C28+C30+C32</f>
        <v>1262866603.9992995</v>
      </c>
      <c r="D34" s="4099">
        <f t="shared" ref="D34:E34" si="14">D7+D9+D11+D21+D28+D30+D32</f>
        <v>50671560.993585438</v>
      </c>
      <c r="E34" s="4097">
        <f t="shared" si="14"/>
        <v>6314333.0199964968</v>
      </c>
      <c r="F34" s="4098">
        <f>D34+E34</f>
        <v>56985894.013581932</v>
      </c>
      <c r="G34" s="4097">
        <f>G7+G9+G11+G21+G28+G30+G32</f>
        <v>28492947.006790962</v>
      </c>
      <c r="H34" s="4097">
        <f>H7+H9+H11+H21+H28+H30+H32</f>
        <v>28492947.006790962</v>
      </c>
      <c r="I34" s="4099">
        <f>D34*2</f>
        <v>101343121.98717088</v>
      </c>
      <c r="J34" s="4097">
        <f>E34*2</f>
        <v>12628666.039992994</v>
      </c>
      <c r="K34" s="4122">
        <f t="shared" si="2"/>
        <v>113971788.02716386</v>
      </c>
      <c r="L34" s="4322"/>
      <c r="M34" s="4322"/>
      <c r="N34" s="4322"/>
    </row>
    <row r="35" spans="1:14">
      <c r="D35" s="4100"/>
      <c r="E35" s="4100"/>
      <c r="F35" s="4100"/>
      <c r="G35" s="4100"/>
      <c r="H35" s="4100"/>
      <c r="I35" s="4101"/>
      <c r="J35" s="4100"/>
      <c r="K35" s="4100"/>
      <c r="L35" s="4324" t="s">
        <v>861</v>
      </c>
      <c r="M35" s="4324" t="s">
        <v>863</v>
      </c>
      <c r="N35" s="4324" t="s">
        <v>863</v>
      </c>
    </row>
    <row r="36" spans="1:14">
      <c r="D36" s="4330"/>
      <c r="E36" s="4331" t="s">
        <v>865</v>
      </c>
      <c r="F36" s="4332">
        <f>SUM(F7:F20)+SUM(F24:F27)+F30+F32</f>
        <v>56985894.013581932</v>
      </c>
      <c r="G36" s="4332">
        <f t="shared" ref="G36:H36" si="15">SUM(G7:G20)+SUM(G24:G27)+G30+G32</f>
        <v>28492947.006790966</v>
      </c>
      <c r="H36" s="4332">
        <f t="shared" si="15"/>
        <v>28492947.006790966</v>
      </c>
      <c r="J36" s="4320"/>
      <c r="L36" s="4324" t="s">
        <v>862</v>
      </c>
      <c r="M36" s="4324">
        <v>2014</v>
      </c>
      <c r="N36" s="4321">
        <v>2015</v>
      </c>
    </row>
    <row r="37" spans="1:14">
      <c r="A37" s="3265" t="s">
        <v>860</v>
      </c>
      <c r="D37" s="4319"/>
      <c r="J37" s="4320"/>
    </row>
    <row r="38" spans="1:14">
      <c r="D38" s="4319"/>
      <c r="J38" s="4320"/>
    </row>
    <row r="39" spans="1:14">
      <c r="D39" s="4319"/>
      <c r="J39" s="4320"/>
    </row>
  </sheetData>
  <mergeCells count="1">
    <mergeCell ref="A5:K5"/>
  </mergeCells>
  <pageMargins left="0.7" right="0.7" top="0.75" bottom="0.75" header="0.3" footer="0.3"/>
  <pageSetup scale="67" orientation="landscape" r:id="rId1"/>
  <headerFooter>
    <oddFooter>&amp;LHouse Ways and Means Cmte Amendment 1001 2-14-13&amp;R&amp;D</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49"/>
  <sheetViews>
    <sheetView topLeftCell="A685" zoomScaleNormal="100" workbookViewId="0">
      <selection activeCell="B612" sqref="B612"/>
    </sheetView>
  </sheetViews>
  <sheetFormatPr defaultColWidth="9.109375" defaultRowHeight="13.2"/>
  <cols>
    <col min="1" max="1" width="50.6640625" style="11" customWidth="1"/>
    <col min="2" max="2" width="8.5546875" style="1" bestFit="1" customWidth="1"/>
    <col min="3" max="3" width="1.5546875" style="3170" customWidth="1"/>
    <col min="4" max="4" width="8.5546875" style="1" bestFit="1" customWidth="1"/>
    <col min="5" max="5" width="1.5546875" style="1" customWidth="1"/>
    <col min="6" max="6" width="8.5546875" style="2" bestFit="1" customWidth="1"/>
    <col min="7" max="7" width="1.44140625" style="1" customWidth="1"/>
    <col min="8" max="8" width="8.5546875" style="1" bestFit="1" customWidth="1"/>
    <col min="9" max="9" width="1.5546875" style="1" customWidth="1"/>
    <col min="10" max="10" width="10" style="1" bestFit="1" customWidth="1"/>
    <col min="11" max="11" width="1.44140625" style="1" customWidth="1"/>
    <col min="12" max="12" width="10" style="1" bestFit="1" customWidth="1"/>
    <col min="13" max="13" width="1.44140625" style="1" customWidth="1"/>
    <col min="14" max="14" width="10" style="1" bestFit="1" customWidth="1"/>
    <col min="15" max="15" width="1.6640625" style="1" customWidth="1"/>
    <col min="16" max="16" width="10" style="1" bestFit="1" customWidth="1"/>
    <col min="17" max="17" width="1.6640625" style="1" customWidth="1"/>
    <col min="18" max="18" width="10" style="1" bestFit="1" customWidth="1"/>
    <col min="19" max="19" width="1.44140625" style="1" customWidth="1"/>
    <col min="20" max="20" width="8.109375" style="1" bestFit="1" customWidth="1"/>
    <col min="21" max="21" width="1.44140625" style="1" customWidth="1"/>
    <col min="22" max="22" width="10.5546875" style="1" bestFit="1" customWidth="1"/>
    <col min="23" max="23" width="1.44140625" style="1" customWidth="1"/>
    <col min="24" max="24" width="10.5546875" style="1" bestFit="1" customWidth="1"/>
    <col min="25" max="25" width="9.109375" style="1"/>
    <col min="26" max="26" width="10" style="1" bestFit="1" customWidth="1"/>
    <col min="27" max="27" width="13.5546875" style="1" bestFit="1" customWidth="1"/>
    <col min="28" max="16384" width="9.109375" style="1"/>
  </cols>
  <sheetData>
    <row r="1" spans="1:24">
      <c r="A1" s="4479" t="s">
        <v>67</v>
      </c>
      <c r="B1" s="4479"/>
      <c r="C1" s="4479"/>
      <c r="D1" s="4479"/>
      <c r="E1" s="4479"/>
      <c r="F1" s="4479"/>
      <c r="G1" s="4479"/>
      <c r="H1" s="4479"/>
      <c r="I1" s="4479"/>
      <c r="J1" s="4479"/>
      <c r="K1" s="4479"/>
      <c r="L1" s="4479"/>
      <c r="M1" s="4479"/>
      <c r="N1" s="4479"/>
      <c r="O1" s="4479"/>
      <c r="P1" s="4479"/>
      <c r="Q1" s="4479"/>
      <c r="R1" s="4479"/>
      <c r="S1" s="4479"/>
      <c r="T1" s="4479"/>
      <c r="U1" s="4479"/>
      <c r="V1" s="4479"/>
      <c r="W1" s="4479"/>
      <c r="X1" s="4479"/>
    </row>
    <row r="2" spans="1:24">
      <c r="A2" s="4480" t="s">
        <v>18</v>
      </c>
      <c r="B2" s="4480"/>
      <c r="C2" s="4480"/>
      <c r="D2" s="4480"/>
      <c r="E2" s="4480"/>
      <c r="F2" s="4480"/>
      <c r="G2" s="4480"/>
      <c r="H2" s="4480"/>
      <c r="I2" s="4480"/>
      <c r="J2" s="4480"/>
      <c r="K2" s="4480"/>
      <c r="L2" s="4480"/>
      <c r="M2" s="4480"/>
      <c r="N2" s="4480"/>
      <c r="O2" s="4480"/>
      <c r="P2" s="4480"/>
      <c r="Q2" s="4480"/>
      <c r="R2" s="4480"/>
      <c r="S2" s="4480"/>
      <c r="T2" s="4480"/>
      <c r="U2" s="4480"/>
      <c r="V2" s="4480"/>
      <c r="W2" s="4480"/>
      <c r="X2" s="4480"/>
    </row>
    <row r="3" spans="1:24">
      <c r="A3" s="4481" t="s">
        <v>0</v>
      </c>
      <c r="B3" s="4481"/>
      <c r="C3" s="4481"/>
      <c r="D3" s="4481"/>
      <c r="E3" s="4481"/>
      <c r="F3" s="4481"/>
      <c r="G3" s="4481"/>
      <c r="H3" s="4481"/>
      <c r="I3" s="4481"/>
      <c r="J3" s="4481"/>
      <c r="K3" s="4481"/>
      <c r="L3" s="4481"/>
      <c r="M3" s="4481"/>
      <c r="N3" s="4481"/>
      <c r="O3" s="4481"/>
      <c r="P3" s="4481"/>
      <c r="Q3" s="4481"/>
      <c r="R3" s="4481"/>
      <c r="S3" s="4481"/>
      <c r="T3" s="4481"/>
      <c r="U3" s="4481"/>
      <c r="V3" s="4481"/>
      <c r="W3" s="4481"/>
      <c r="X3" s="4481"/>
    </row>
    <row r="4" spans="1:24">
      <c r="A4" s="4481" t="s">
        <v>169</v>
      </c>
      <c r="B4" s="4481"/>
      <c r="C4" s="4481"/>
      <c r="D4" s="4481"/>
      <c r="E4" s="4481"/>
      <c r="F4" s="4481"/>
      <c r="G4" s="4481"/>
      <c r="H4" s="4481"/>
      <c r="I4" s="4481"/>
      <c r="J4" s="4481"/>
      <c r="K4" s="4481"/>
      <c r="L4" s="4481"/>
      <c r="M4" s="4481"/>
      <c r="N4" s="4481"/>
      <c r="O4" s="4481"/>
      <c r="P4" s="4481"/>
      <c r="Q4" s="4481"/>
      <c r="R4" s="4481"/>
      <c r="S4" s="4481"/>
      <c r="T4" s="4481"/>
      <c r="U4" s="4481"/>
      <c r="V4" s="4481"/>
      <c r="W4" s="4481"/>
      <c r="X4" s="4481"/>
    </row>
    <row r="5" spans="1:24" ht="13.8" thickBot="1">
      <c r="A5" s="41" t="s">
        <v>1</v>
      </c>
      <c r="B5" s="41"/>
      <c r="C5" s="41"/>
      <c r="D5" s="41"/>
      <c r="E5" s="41"/>
      <c r="F5" s="41"/>
      <c r="G5" s="41"/>
      <c r="H5" s="41"/>
      <c r="I5" s="41"/>
      <c r="J5" s="41"/>
      <c r="K5" s="41"/>
      <c r="L5" s="41"/>
      <c r="M5" s="41"/>
      <c r="N5" s="41"/>
      <c r="S5" s="41"/>
      <c r="T5" s="41"/>
      <c r="U5" s="41"/>
      <c r="V5" s="41"/>
      <c r="W5" s="41"/>
      <c r="X5" s="41"/>
    </row>
    <row r="6" spans="1:24" s="7" customFormat="1">
      <c r="A6" s="114" t="s">
        <v>173</v>
      </c>
      <c r="B6" s="20" t="s">
        <v>13</v>
      </c>
      <c r="C6" s="3051"/>
      <c r="D6" s="22" t="s">
        <v>13</v>
      </c>
      <c r="E6" s="54"/>
      <c r="F6" s="50" t="s">
        <v>13</v>
      </c>
      <c r="G6" s="54"/>
      <c r="H6" s="50" t="s">
        <v>13</v>
      </c>
      <c r="I6" s="54"/>
      <c r="J6" s="50" t="s">
        <v>13</v>
      </c>
      <c r="K6" s="54"/>
      <c r="L6" s="23" t="s">
        <v>14</v>
      </c>
      <c r="M6" s="54"/>
      <c r="N6" s="23" t="s">
        <v>15</v>
      </c>
      <c r="O6" s="54"/>
      <c r="P6" s="29" t="s">
        <v>16</v>
      </c>
      <c r="Q6" s="54"/>
      <c r="R6" s="31" t="s">
        <v>16</v>
      </c>
      <c r="S6" s="54"/>
      <c r="T6" s="89" t="s">
        <v>62</v>
      </c>
      <c r="U6" s="21"/>
      <c r="V6" s="93" t="s">
        <v>75</v>
      </c>
      <c r="W6" s="21"/>
      <c r="X6" s="91" t="s">
        <v>75</v>
      </c>
    </row>
    <row r="7" spans="1:24" s="7" customFormat="1" ht="13.8" thickBot="1">
      <c r="A7" s="55"/>
      <c r="B7" s="19" t="s">
        <v>3</v>
      </c>
      <c r="C7" s="3053"/>
      <c r="D7" s="8" t="s">
        <v>4</v>
      </c>
      <c r="E7" s="56"/>
      <c r="F7" s="9" t="s">
        <v>5</v>
      </c>
      <c r="G7" s="56"/>
      <c r="H7" s="10" t="s">
        <v>6</v>
      </c>
      <c r="I7" s="56"/>
      <c r="J7" s="10" t="s">
        <v>7</v>
      </c>
      <c r="K7" s="56"/>
      <c r="L7" s="10" t="s">
        <v>8</v>
      </c>
      <c r="M7" s="56"/>
      <c r="N7" s="10" t="s">
        <v>9</v>
      </c>
      <c r="O7" s="56"/>
      <c r="P7" s="30" t="s">
        <v>10</v>
      </c>
      <c r="Q7" s="56"/>
      <c r="R7" s="32" t="s">
        <v>11</v>
      </c>
      <c r="S7" s="56"/>
      <c r="T7" s="90" t="s">
        <v>63</v>
      </c>
      <c r="U7" s="12"/>
      <c r="V7" s="88" t="s">
        <v>76</v>
      </c>
      <c r="W7" s="12"/>
      <c r="X7" s="92" t="s">
        <v>77</v>
      </c>
    </row>
    <row r="8" spans="1:24">
      <c r="A8" s="51" t="s">
        <v>81</v>
      </c>
      <c r="B8" s="44"/>
      <c r="C8" s="45"/>
      <c r="D8" s="46"/>
      <c r="E8" s="45"/>
      <c r="F8" s="46"/>
      <c r="G8" s="45"/>
      <c r="H8" s="47"/>
      <c r="I8" s="45"/>
      <c r="J8" s="47"/>
      <c r="K8" s="45"/>
      <c r="L8" s="47"/>
      <c r="M8" s="45"/>
      <c r="N8" s="47"/>
      <c r="O8" s="45"/>
      <c r="P8" s="48"/>
      <c r="Q8" s="45"/>
      <c r="R8" s="49"/>
      <c r="S8" s="45"/>
      <c r="T8" s="86"/>
      <c r="U8" s="45"/>
      <c r="V8" s="47"/>
      <c r="W8" s="45"/>
      <c r="X8" s="85"/>
    </row>
    <row r="9" spans="1:24">
      <c r="A9" s="15" t="s">
        <v>19</v>
      </c>
      <c r="B9" s="3064">
        <f>SUM(B10:B12)</f>
        <v>319128</v>
      </c>
      <c r="C9" s="3065"/>
      <c r="D9" s="3066">
        <f>SUM(D10:D12)</f>
        <v>329298</v>
      </c>
      <c r="E9" s="3065"/>
      <c r="F9" s="3066">
        <f>SUM(F10:F12)</f>
        <v>353803</v>
      </c>
      <c r="G9" s="3065"/>
      <c r="H9" s="3066">
        <f>SUM(H10:H12)</f>
        <v>395228</v>
      </c>
      <c r="I9" s="3065"/>
      <c r="J9" s="3066">
        <f>SUM(J10:J12)</f>
        <v>406648</v>
      </c>
      <c r="K9" s="3065"/>
      <c r="L9" s="3066">
        <f>SUM(L10:L12)</f>
        <v>410388.56932573603</v>
      </c>
      <c r="M9" s="3065"/>
      <c r="N9" s="3066">
        <f>SUM(N10:N12)</f>
        <v>412860.49077967711</v>
      </c>
      <c r="O9" s="3065"/>
      <c r="P9" s="3066">
        <f>SUM(P10:P12)</f>
        <v>417518.68858067709</v>
      </c>
      <c r="Q9" s="3065"/>
      <c r="R9" s="122">
        <f>SUM(R10:R12)</f>
        <v>422322.18793110014</v>
      </c>
      <c r="S9" s="25"/>
      <c r="T9" s="3188">
        <f>(((N9/B9)^(1/6)-1))</f>
        <v>4.3853942122575651E-2</v>
      </c>
      <c r="U9" s="25"/>
      <c r="V9" s="3189">
        <f>(P9-N9)/N9</f>
        <v>1.1282740550453443E-2</v>
      </c>
      <c r="W9" s="25"/>
      <c r="X9" s="3190">
        <f>(R9-P9)/P9</f>
        <v>1.1504872672292062E-2</v>
      </c>
    </row>
    <row r="10" spans="1:24">
      <c r="A10" s="15" t="s">
        <v>20</v>
      </c>
      <c r="B10" s="3067">
        <f>B46+B370+B550+B586+B622+B658+B694</f>
        <v>279964</v>
      </c>
      <c r="C10" s="3068"/>
      <c r="D10" s="3069">
        <f>D46+D370+D550+D586+D622+D658+D694</f>
        <v>288388</v>
      </c>
      <c r="E10" s="3068"/>
      <c r="F10" s="3069">
        <f>F46+F370+F550+F586+F622+F658+F694</f>
        <v>309219</v>
      </c>
      <c r="G10" s="3068"/>
      <c r="H10" s="3069">
        <f>H46+H370+H550+H586+H622+H658+H694</f>
        <v>348491</v>
      </c>
      <c r="I10" s="3068"/>
      <c r="J10" s="3069">
        <f>J46+J370+J550+J586+J622+J658+J694</f>
        <v>358943</v>
      </c>
      <c r="K10" s="3068"/>
      <c r="L10" s="3069">
        <f>L46+L370+L550+L586+L622+L658+L694</f>
        <v>360488.92735042737</v>
      </c>
      <c r="M10" s="3068"/>
      <c r="N10" s="3069">
        <f>N46+N370+N550+N586+N622+N658+N694</f>
        <v>363071.66716239316</v>
      </c>
      <c r="O10" s="3068"/>
      <c r="P10" s="3085">
        <f>P46+P370+P550+P586+P622+P658+P694</f>
        <v>367482.19636439317</v>
      </c>
      <c r="Q10" s="3068"/>
      <c r="R10" s="169">
        <f>R46+R370+R550+R586+R622+R658+R694</f>
        <v>372077.79273803916</v>
      </c>
      <c r="S10" s="34"/>
      <c r="T10" s="3191">
        <f t="shared" ref="T10:T21" si="0">(((N10/B10)^(1/6)-1))</f>
        <v>4.4275353850541377E-2</v>
      </c>
      <c r="U10" s="77"/>
      <c r="V10" s="78">
        <f t="shared" ref="V10:V21" si="1">(P10-N10)/N10</f>
        <v>1.2147819840834019E-2</v>
      </c>
      <c r="W10" s="77"/>
      <c r="X10" s="3192">
        <f t="shared" ref="X10:X21" si="2">(R10-P10)/P10</f>
        <v>1.2505629984558573E-2</v>
      </c>
    </row>
    <row r="11" spans="1:24">
      <c r="A11" s="15" t="s">
        <v>17</v>
      </c>
      <c r="B11" s="3067">
        <f t="shared" ref="B11:D14" si="3">B47+B371+B551+B587+B623+B659+B695</f>
        <v>35798</v>
      </c>
      <c r="C11" s="3068"/>
      <c r="D11" s="3069">
        <f t="shared" si="3"/>
        <v>37476</v>
      </c>
      <c r="E11" s="3068"/>
      <c r="F11" s="3069">
        <f t="shared" ref="F11" si="4">F47+F371+F551+F587+F623+F659+F695</f>
        <v>40871</v>
      </c>
      <c r="G11" s="3068"/>
      <c r="H11" s="3069">
        <f t="shared" ref="H11" si="5">H47+H371+H551+H587+H623+H659+H695</f>
        <v>42369</v>
      </c>
      <c r="I11" s="3068"/>
      <c r="J11" s="3069">
        <f t="shared" ref="J11" si="6">J47+J371+J551+J587+J623+J659+J695</f>
        <v>42993</v>
      </c>
      <c r="K11" s="3068"/>
      <c r="L11" s="3069">
        <f t="shared" ref="L11" si="7">L47+L371+L551+L587+L623+L659+L695</f>
        <v>45139.641975308645</v>
      </c>
      <c r="M11" s="3068"/>
      <c r="N11" s="3069">
        <f t="shared" ref="N11" si="8">N47+N371+N551+N587+N623+N659+N695</f>
        <v>44908.511617283948</v>
      </c>
      <c r="O11" s="3068"/>
      <c r="P11" s="3085">
        <f t="shared" ref="P11" si="9">P47+P371+P551+P587+P623+P659+P695</f>
        <v>45064.26304028395</v>
      </c>
      <c r="Q11" s="3068"/>
      <c r="R11" s="169">
        <f t="shared" ref="R11" si="10">R47+R371+R551+R587+R623+R659+R695</f>
        <v>45243.629746012943</v>
      </c>
      <c r="S11" s="34"/>
      <c r="T11" s="3191">
        <f t="shared" si="0"/>
        <v>3.851231203874006E-2</v>
      </c>
      <c r="U11" s="77"/>
      <c r="V11" s="78">
        <f t="shared" si="1"/>
        <v>3.468193832103254E-3</v>
      </c>
      <c r="W11" s="77"/>
      <c r="X11" s="3192">
        <f t="shared" si="2"/>
        <v>3.9802427384345151E-3</v>
      </c>
    </row>
    <row r="12" spans="1:24">
      <c r="A12" s="15" t="s">
        <v>154</v>
      </c>
      <c r="B12" s="3067">
        <f t="shared" si="3"/>
        <v>3366</v>
      </c>
      <c r="C12" s="3068"/>
      <c r="D12" s="3069">
        <f t="shared" si="3"/>
        <v>3434</v>
      </c>
      <c r="E12" s="3068"/>
      <c r="F12" s="3069">
        <f t="shared" ref="F12" si="11">F48+F372+F552+F588+F624+F660+F696</f>
        <v>3713</v>
      </c>
      <c r="G12" s="3068"/>
      <c r="H12" s="3069">
        <f t="shared" ref="H12" si="12">H48+H372+H552+H588+H624+H660+H696</f>
        <v>4368</v>
      </c>
      <c r="I12" s="3068"/>
      <c r="J12" s="3069">
        <f t="shared" ref="J12" si="13">J48+J372+J552+J588+J624+J660+J696</f>
        <v>4712</v>
      </c>
      <c r="K12" s="3068"/>
      <c r="L12" s="3069">
        <f t="shared" ref="L12" si="14">L48+L372+L552+L588+L624+L660+L696</f>
        <v>4760</v>
      </c>
      <c r="M12" s="3068"/>
      <c r="N12" s="3069">
        <f t="shared" ref="N12" si="15">N48+N372+N552+N588+N624+N660+N696</f>
        <v>4880.3119999999999</v>
      </c>
      <c r="O12" s="3068"/>
      <c r="P12" s="3085">
        <f t="shared" ref="P12" si="16">P48+P372+P552+P588+P624+P660+P696</f>
        <v>4972.2291759999998</v>
      </c>
      <c r="Q12" s="3068"/>
      <c r="R12" s="169">
        <f t="shared" ref="R12" si="17">R48+R372+R552+R588+R624+R660+R696</f>
        <v>5000.7654470479993</v>
      </c>
      <c r="S12" s="34"/>
      <c r="T12" s="3191">
        <f t="shared" si="0"/>
        <v>6.3870857915192314E-2</v>
      </c>
      <c r="U12" s="77"/>
      <c r="V12" s="78">
        <f t="shared" si="1"/>
        <v>1.8834282726186344E-2</v>
      </c>
      <c r="W12" s="77"/>
      <c r="X12" s="3192">
        <f t="shared" si="2"/>
        <v>5.7391302850115121E-3</v>
      </c>
    </row>
    <row r="13" spans="1:24">
      <c r="A13" s="15" t="s">
        <v>21</v>
      </c>
      <c r="B13" s="3064">
        <f>SUM(B14:B16)</f>
        <v>44182</v>
      </c>
      <c r="C13" s="3065"/>
      <c r="D13" s="3066">
        <f>SUM(D14:D16)</f>
        <v>44727</v>
      </c>
      <c r="E13" s="3065"/>
      <c r="F13" s="3066">
        <f>SUM(F14:F16)</f>
        <v>45653</v>
      </c>
      <c r="G13" s="3065"/>
      <c r="H13" s="3066">
        <f>SUM(H14:H16)</f>
        <v>46590</v>
      </c>
      <c r="I13" s="3065"/>
      <c r="J13" s="3066">
        <f>SUM(J14:J16)</f>
        <v>45058</v>
      </c>
      <c r="K13" s="3065"/>
      <c r="L13" s="3066">
        <f>SUM(L14:L16)</f>
        <v>44216</v>
      </c>
      <c r="M13" s="3065"/>
      <c r="N13" s="3066">
        <f>SUM(N14:N16)</f>
        <v>44240</v>
      </c>
      <c r="O13" s="3065"/>
      <c r="P13" s="3066">
        <f>SUM(P14:P16)</f>
        <v>44591</v>
      </c>
      <c r="Q13" s="3065"/>
      <c r="R13" s="122">
        <f>SUM(R14:R16)</f>
        <v>44689.599999999999</v>
      </c>
      <c r="S13" s="34"/>
      <c r="T13" s="3197">
        <f t="shared" si="0"/>
        <v>2.1867238766937191E-4</v>
      </c>
      <c r="U13" s="1480"/>
      <c r="V13" s="1479">
        <f t="shared" si="1"/>
        <v>7.9339963833634716E-3</v>
      </c>
      <c r="W13" s="1480"/>
      <c r="X13" s="3198">
        <f t="shared" si="2"/>
        <v>2.2112085398398452E-3</v>
      </c>
    </row>
    <row r="14" spans="1:24">
      <c r="A14" s="15" t="s">
        <v>20</v>
      </c>
      <c r="B14" s="3067">
        <f t="shared" si="3"/>
        <v>25553</v>
      </c>
      <c r="C14" s="3068"/>
      <c r="D14" s="3069">
        <f t="shared" ref="D14" si="18">D50+D374+D554+D590+D626+D662+D698</f>
        <v>25771</v>
      </c>
      <c r="E14" s="3068"/>
      <c r="F14" s="3069">
        <f t="shared" ref="F14" si="19">F50+F374+F554+F590+F626+F662+F698</f>
        <v>25875</v>
      </c>
      <c r="G14" s="3068"/>
      <c r="H14" s="3069">
        <f t="shared" ref="H14" si="20">H50+H374+H554+H590+H626+H662+H698</f>
        <v>25750</v>
      </c>
      <c r="I14" s="3068"/>
      <c r="J14" s="3069">
        <f t="shared" ref="J14" si="21">J50+J374+J554+J590+J626+J662+J698</f>
        <v>24009</v>
      </c>
      <c r="K14" s="3068"/>
      <c r="L14" s="3069">
        <f t="shared" ref="L14" si="22">L50+L374+L554+L590+L626+L662+L698</f>
        <v>22979</v>
      </c>
      <c r="M14" s="3068"/>
      <c r="N14" s="3069">
        <f t="shared" ref="N14" si="23">N50+N374+N554+N590+N626+N662+N698</f>
        <v>22999</v>
      </c>
      <c r="O14" s="3068"/>
      <c r="P14" s="3085">
        <f t="shared" ref="P14" si="24">P50+P374+P554+P590+P626+P662+P698</f>
        <v>23216</v>
      </c>
      <c r="Q14" s="3068"/>
      <c r="R14" s="169">
        <f t="shared" ref="R14" si="25">R50+R374+R554+R590+R626+R662+R698</f>
        <v>23277.919999999998</v>
      </c>
      <c r="S14" s="34"/>
      <c r="T14" s="3191">
        <f>(((N14/B14)^(1/6)-1))</f>
        <v>-1.7397549126919487E-2</v>
      </c>
      <c r="U14" s="77"/>
      <c r="V14" s="78">
        <f t="shared" si="1"/>
        <v>9.4351928344710637E-3</v>
      </c>
      <c r="W14" s="77"/>
      <c r="X14" s="3192">
        <f t="shared" si="2"/>
        <v>2.667126119917223E-3</v>
      </c>
    </row>
    <row r="15" spans="1:24">
      <c r="A15" s="15" t="s">
        <v>17</v>
      </c>
      <c r="B15" s="3067">
        <f t="shared" ref="B15:D15" si="26">B51+B375+B555+B591+B627+B663+B699</f>
        <v>17921</v>
      </c>
      <c r="C15" s="3068"/>
      <c r="D15" s="3069">
        <f t="shared" si="26"/>
        <v>18198</v>
      </c>
      <c r="E15" s="3068"/>
      <c r="F15" s="3069">
        <f t="shared" ref="F15" si="27">F51+F375+F555+F591+F627+F663+F699</f>
        <v>18926</v>
      </c>
      <c r="G15" s="3068"/>
      <c r="H15" s="3069">
        <f t="shared" ref="H15" si="28">H51+H375+H555+H591+H627+H663+H699</f>
        <v>19946</v>
      </c>
      <c r="I15" s="3068"/>
      <c r="J15" s="3069">
        <f t="shared" ref="J15" si="29">J51+J375+J555+J591+J627+J663+J699</f>
        <v>20201</v>
      </c>
      <c r="K15" s="3068"/>
      <c r="L15" s="3069">
        <f t="shared" ref="L15" si="30">L51+L375+L555+L591+L627+L663+L699</f>
        <v>20396</v>
      </c>
      <c r="M15" s="3068"/>
      <c r="N15" s="3069">
        <f t="shared" ref="N15" si="31">N51+N375+N555+N591+N627+N663+N699</f>
        <v>20397</v>
      </c>
      <c r="O15" s="3068"/>
      <c r="P15" s="3085">
        <f t="shared" ref="P15" si="32">P51+P375+P555+P591+P627+P663+P699</f>
        <v>20527</v>
      </c>
      <c r="Q15" s="3068"/>
      <c r="R15" s="169">
        <f t="shared" ref="R15" si="33">R51+R375+R555+R591+R627+R663+R699</f>
        <v>20562.68</v>
      </c>
      <c r="S15" s="34"/>
      <c r="T15" s="3191">
        <f t="shared" si="0"/>
        <v>2.1803398199748747E-2</v>
      </c>
      <c r="U15" s="77"/>
      <c r="V15" s="78">
        <f t="shared" si="1"/>
        <v>6.3734862970044612E-3</v>
      </c>
      <c r="W15" s="77"/>
      <c r="X15" s="3192">
        <f t="shared" si="2"/>
        <v>1.7381984703074142E-3</v>
      </c>
    </row>
    <row r="16" spans="1:24">
      <c r="A16" s="15" t="s">
        <v>154</v>
      </c>
      <c r="B16" s="3067">
        <f t="shared" ref="B16:D18" si="34">B52+B376+B556+B592+B628+B664+B700</f>
        <v>708</v>
      </c>
      <c r="C16" s="3068"/>
      <c r="D16" s="3069">
        <f t="shared" si="34"/>
        <v>758</v>
      </c>
      <c r="E16" s="3068"/>
      <c r="F16" s="3069">
        <f t="shared" ref="F16" si="35">F52+F376+F556+F592+F628+F664+F700</f>
        <v>852</v>
      </c>
      <c r="G16" s="3068"/>
      <c r="H16" s="3069">
        <f t="shared" ref="H16" si="36">H52+H376+H556+H592+H628+H664+H700</f>
        <v>894</v>
      </c>
      <c r="I16" s="3068"/>
      <c r="J16" s="3069">
        <f t="shared" ref="J16" si="37">J52+J376+J556+J592+J628+J664+J700</f>
        <v>848</v>
      </c>
      <c r="K16" s="3068"/>
      <c r="L16" s="3069">
        <f t="shared" ref="L16" si="38">L52+L376+L556+L592+L628+L664+L700</f>
        <v>841</v>
      </c>
      <c r="M16" s="3068"/>
      <c r="N16" s="3069">
        <f t="shared" ref="N16" si="39">N52+N376+N556+N592+N628+N664+N700</f>
        <v>844</v>
      </c>
      <c r="O16" s="3068"/>
      <c r="P16" s="3085">
        <f t="shared" ref="P16" si="40">P52+P376+P556+P592+P628+P664+P700</f>
        <v>848</v>
      </c>
      <c r="Q16" s="3068"/>
      <c r="R16" s="169">
        <f t="shared" ref="R16" si="41">R52+R376+R556+R592+R628+R664+R700</f>
        <v>849</v>
      </c>
      <c r="S16" s="34"/>
      <c r="T16" s="3191">
        <f t="shared" si="0"/>
        <v>2.9717747859440147E-2</v>
      </c>
      <c r="U16" s="77"/>
      <c r="V16" s="78">
        <f t="shared" si="1"/>
        <v>4.7393364928909956E-3</v>
      </c>
      <c r="W16" s="77"/>
      <c r="X16" s="3192">
        <f t="shared" si="2"/>
        <v>1.1792452830188679E-3</v>
      </c>
    </row>
    <row r="17" spans="1:26">
      <c r="A17" s="18" t="s">
        <v>22</v>
      </c>
      <c r="B17" s="3064">
        <f>SUM(B18:B20)</f>
        <v>4694</v>
      </c>
      <c r="C17" s="3065"/>
      <c r="D17" s="3066">
        <f>SUM(D18:D20)</f>
        <v>4744</v>
      </c>
      <c r="E17" s="3065"/>
      <c r="F17" s="3066">
        <f>SUM(F18:F20)</f>
        <v>4792</v>
      </c>
      <c r="G17" s="3065"/>
      <c r="H17" s="3066">
        <f>SUM(H18:H20)</f>
        <v>4831</v>
      </c>
      <c r="I17" s="3065"/>
      <c r="J17" s="3066">
        <f>SUM(J18:J20)</f>
        <v>4936</v>
      </c>
      <c r="K17" s="3065"/>
      <c r="L17" s="3066">
        <f>SUM(L18:L20)</f>
        <v>5041</v>
      </c>
      <c r="M17" s="3065"/>
      <c r="N17" s="3066">
        <f>SUM(N18:N20)</f>
        <v>5092</v>
      </c>
      <c r="O17" s="3065"/>
      <c r="P17" s="3066">
        <f>SUM(P18:P20)</f>
        <v>5117</v>
      </c>
      <c r="Q17" s="3065"/>
      <c r="R17" s="122">
        <f>SUM(R18:R20)</f>
        <v>5118</v>
      </c>
      <c r="S17" s="34"/>
      <c r="T17" s="3197">
        <f t="shared" si="0"/>
        <v>1.3656675865797219E-2</v>
      </c>
      <c r="U17" s="1480"/>
      <c r="V17" s="1479">
        <f t="shared" si="1"/>
        <v>4.9096622152395913E-3</v>
      </c>
      <c r="W17" s="1480"/>
      <c r="X17" s="3198">
        <f t="shared" si="2"/>
        <v>1.9542700801250732E-4</v>
      </c>
    </row>
    <row r="18" spans="1:26">
      <c r="A18" s="15" t="s">
        <v>20</v>
      </c>
      <c r="B18" s="3067">
        <f t="shared" si="34"/>
        <v>3428</v>
      </c>
      <c r="C18" s="3068"/>
      <c r="D18" s="3069">
        <f t="shared" ref="D18" si="42">D54+D378+D558+D594+D630+D666+D702</f>
        <v>3362</v>
      </c>
      <c r="E18" s="3068"/>
      <c r="F18" s="3069">
        <f t="shared" ref="F18" si="43">F54+F378+F558+F594+F630+F666+F702</f>
        <v>3401</v>
      </c>
      <c r="G18" s="3068"/>
      <c r="H18" s="3069">
        <f t="shared" ref="H18" si="44">H54+H378+H558+H594+H630+H666+H702</f>
        <v>3440</v>
      </c>
      <c r="I18" s="3068"/>
      <c r="J18" s="3069">
        <f t="shared" ref="J18" si="45">J54+J378+J558+J594+J630+J666+J702</f>
        <v>3527</v>
      </c>
      <c r="K18" s="3068"/>
      <c r="L18" s="3069">
        <f t="shared" ref="L18" si="46">L54+L378+L558+L594+L630+L666+L702</f>
        <v>3583</v>
      </c>
      <c r="M18" s="3068"/>
      <c r="N18" s="3069">
        <f t="shared" ref="N18" si="47">N54+N378+N558+N594+N630+N666+N702</f>
        <v>3612</v>
      </c>
      <c r="O18" s="3068"/>
      <c r="P18" s="3085">
        <f t="shared" ref="P18" si="48">P54+P378+P558+P594+P630+P666+P702</f>
        <v>3624</v>
      </c>
      <c r="Q18" s="3068"/>
      <c r="R18" s="169">
        <f t="shared" ref="R18" si="49">R54+R378+R558+R594+R630+R666+R702</f>
        <v>3625</v>
      </c>
      <c r="S18" s="34"/>
      <c r="T18" s="3191">
        <f t="shared" si="0"/>
        <v>8.7521841490543206E-3</v>
      </c>
      <c r="U18" s="77"/>
      <c r="V18" s="78">
        <f t="shared" si="1"/>
        <v>3.3222591362126247E-3</v>
      </c>
      <c r="W18" s="77"/>
      <c r="X18" s="3192">
        <f t="shared" si="2"/>
        <v>2.7593818984547461E-4</v>
      </c>
    </row>
    <row r="19" spans="1:26">
      <c r="A19" s="15" t="s">
        <v>17</v>
      </c>
      <c r="B19" s="3067">
        <f t="shared" ref="B19:D19" si="50">B55+B379+B559+B595+B631+B667+B703</f>
        <v>1266</v>
      </c>
      <c r="C19" s="3068"/>
      <c r="D19" s="3069">
        <f t="shared" si="50"/>
        <v>1382</v>
      </c>
      <c r="E19" s="3068"/>
      <c r="F19" s="3069">
        <f t="shared" ref="F19" si="51">F55+F379+F559+F595+F631+F667+F703</f>
        <v>1391</v>
      </c>
      <c r="G19" s="3068"/>
      <c r="H19" s="3069">
        <f t="shared" ref="H19" si="52">H55+H379+H559+H595+H631+H667+H703</f>
        <v>1390</v>
      </c>
      <c r="I19" s="3068"/>
      <c r="J19" s="3069">
        <f t="shared" ref="J19" si="53">J55+J379+J559+J595+J631+J667+J703</f>
        <v>1409</v>
      </c>
      <c r="K19" s="3068"/>
      <c r="L19" s="3069">
        <f t="shared" ref="L19" si="54">L55+L379+L559+L595+L631+L667+L703</f>
        <v>1457</v>
      </c>
      <c r="M19" s="3068"/>
      <c r="N19" s="3069">
        <f t="shared" ref="N19" si="55">N55+N379+N559+N595+N631+N667+N703</f>
        <v>1479</v>
      </c>
      <c r="O19" s="3068"/>
      <c r="P19" s="3085">
        <f t="shared" ref="P19" si="56">P55+P379+P559+P595+P631+P667+P703</f>
        <v>1492</v>
      </c>
      <c r="Q19" s="3068"/>
      <c r="R19" s="169">
        <f t="shared" ref="R19" si="57">R55+R379+R559+R595+R631+R667+R703</f>
        <v>1492</v>
      </c>
      <c r="S19" s="34"/>
      <c r="T19" s="3191">
        <f t="shared" si="0"/>
        <v>2.6256083850331402E-2</v>
      </c>
      <c r="U19" s="77"/>
      <c r="V19" s="78">
        <f t="shared" si="1"/>
        <v>8.7897227856659904E-3</v>
      </c>
      <c r="W19" s="77"/>
      <c r="X19" s="3192">
        <f t="shared" si="2"/>
        <v>0</v>
      </c>
    </row>
    <row r="20" spans="1:26" ht="13.8" thickBot="1">
      <c r="A20" s="102" t="s">
        <v>154</v>
      </c>
      <c r="B20" s="2579">
        <f t="shared" ref="B20:D20" si="58">B56+B380+B560+B596+B632+B668+B704</f>
        <v>0</v>
      </c>
      <c r="C20" s="3071"/>
      <c r="D20" s="3072">
        <f t="shared" si="58"/>
        <v>0</v>
      </c>
      <c r="E20" s="3071"/>
      <c r="F20" s="3072">
        <f t="shared" ref="F20" si="59">F56+F380+F560+F596+F632+F668+F704</f>
        <v>0</v>
      </c>
      <c r="G20" s="3071"/>
      <c r="H20" s="3072">
        <f t="shared" ref="H20" si="60">H56+H380+H560+H596+H632+H668+H704</f>
        <v>1</v>
      </c>
      <c r="I20" s="3071"/>
      <c r="J20" s="3072">
        <f t="shared" ref="J20" si="61">J56+J380+J560+J596+J632+J668+J704</f>
        <v>0</v>
      </c>
      <c r="K20" s="3071"/>
      <c r="L20" s="3072">
        <f t="shared" ref="L20" si="62">L56+L380+L560+L596+L632+L668+L704</f>
        <v>1</v>
      </c>
      <c r="M20" s="3071"/>
      <c r="N20" s="3072">
        <f t="shared" ref="N20" si="63">N56+N380+N560+N596+N632+N668+N704</f>
        <v>1</v>
      </c>
      <c r="O20" s="3071"/>
      <c r="P20" s="175">
        <f t="shared" ref="P20" si="64">P56+P380+P560+P596+P632+P668+P704</f>
        <v>1</v>
      </c>
      <c r="Q20" s="3071"/>
      <c r="R20" s="176">
        <f t="shared" ref="R20" si="65">R56+R380+R560+R596+R632+R668+R704</f>
        <v>1</v>
      </c>
      <c r="S20" s="36"/>
      <c r="T20" s="3193">
        <v>0</v>
      </c>
      <c r="U20" s="3194"/>
      <c r="V20" s="3195">
        <f t="shared" si="1"/>
        <v>0</v>
      </c>
      <c r="W20" s="3194"/>
      <c r="X20" s="3196">
        <f t="shared" si="2"/>
        <v>0</v>
      </c>
    </row>
    <row r="21" spans="1:26" ht="13.8" thickTop="1">
      <c r="A21" s="13" t="s">
        <v>23</v>
      </c>
      <c r="B21" s="123">
        <f>B9+B13+B17</f>
        <v>368004</v>
      </c>
      <c r="C21" s="124"/>
      <c r="D21" s="1869">
        <f>D9+D13+D17</f>
        <v>378769</v>
      </c>
      <c r="E21" s="124"/>
      <c r="F21" s="1869">
        <f>F9+F13+F17</f>
        <v>404248</v>
      </c>
      <c r="G21" s="124"/>
      <c r="H21" s="1869">
        <f>H9+H13+H17</f>
        <v>446649</v>
      </c>
      <c r="I21" s="124"/>
      <c r="J21" s="1869">
        <f>J9+J13+J17</f>
        <v>456642</v>
      </c>
      <c r="K21" s="124"/>
      <c r="L21" s="1869">
        <f>L9+L13+L17</f>
        <v>459645.56932573603</v>
      </c>
      <c r="M21" s="124"/>
      <c r="N21" s="1869">
        <f>N9+N13+N17</f>
        <v>462192.49077967711</v>
      </c>
      <c r="O21" s="124"/>
      <c r="P21" s="3066">
        <f>P9+P13+P17</f>
        <v>467226.68858067709</v>
      </c>
      <c r="Q21" s="124"/>
      <c r="R21" s="122">
        <f>R9+R13+R17</f>
        <v>472129.78793110012</v>
      </c>
      <c r="S21" s="26"/>
      <c r="T21" s="3197">
        <f t="shared" si="0"/>
        <v>3.8711781665775602E-2</v>
      </c>
      <c r="U21" s="1480"/>
      <c r="V21" s="1479">
        <f t="shared" si="1"/>
        <v>1.0891993923371049E-2</v>
      </c>
      <c r="W21" s="1480"/>
      <c r="X21" s="3198">
        <f t="shared" si="2"/>
        <v>1.0494048114668858E-2</v>
      </c>
    </row>
    <row r="22" spans="1:26" ht="8.25" customHeight="1" thickBot="1">
      <c r="A22" s="58"/>
      <c r="B22" s="126"/>
      <c r="C22" s="3068"/>
      <c r="D22" s="3068"/>
      <c r="E22" s="3068"/>
      <c r="F22" s="3068"/>
      <c r="G22" s="3068"/>
      <c r="H22" s="3068"/>
      <c r="I22" s="3068"/>
      <c r="J22" s="3068"/>
      <c r="K22" s="3068"/>
      <c r="L22" s="3068"/>
      <c r="M22" s="3068"/>
      <c r="N22" s="3068"/>
      <c r="O22" s="3068"/>
      <c r="P22" s="3065"/>
      <c r="Q22" s="3068"/>
      <c r="R22" s="127"/>
      <c r="S22" s="34"/>
      <c r="T22" s="84"/>
      <c r="U22" s="34"/>
      <c r="V22" s="34"/>
      <c r="W22" s="34"/>
      <c r="X22" s="42"/>
    </row>
    <row r="23" spans="1:26">
      <c r="A23" s="51" t="s">
        <v>24</v>
      </c>
      <c r="B23" s="115"/>
      <c r="C23" s="3073"/>
      <c r="D23" s="116"/>
      <c r="E23" s="3073"/>
      <c r="F23" s="116"/>
      <c r="G23" s="3073"/>
      <c r="H23" s="117"/>
      <c r="I23" s="3073"/>
      <c r="J23" s="117"/>
      <c r="K23" s="3073"/>
      <c r="L23" s="117"/>
      <c r="M23" s="3073"/>
      <c r="N23" s="117"/>
      <c r="O23" s="3073"/>
      <c r="P23" s="118"/>
      <c r="Q23" s="3073"/>
      <c r="R23" s="119"/>
      <c r="S23" s="45"/>
      <c r="T23" s="86"/>
      <c r="U23" s="45"/>
      <c r="V23" s="47"/>
      <c r="W23" s="45"/>
      <c r="X23" s="85"/>
    </row>
    <row r="24" spans="1:26">
      <c r="A24" s="15" t="s">
        <v>19</v>
      </c>
      <c r="B24" s="3064">
        <f>SUM(B25:B27)</f>
        <v>195801.93299999999</v>
      </c>
      <c r="C24" s="3065"/>
      <c r="D24" s="3066">
        <f>SUM(D25:D27)</f>
        <v>201326.391</v>
      </c>
      <c r="E24" s="3065"/>
      <c r="F24" s="3066">
        <f>SUM(F25:F27)</f>
        <v>211131.636</v>
      </c>
      <c r="G24" s="3065"/>
      <c r="H24" s="3066">
        <f>SUM(H25:H27)</f>
        <v>236697.29900000003</v>
      </c>
      <c r="I24" s="3065"/>
      <c r="J24" s="3066">
        <f>SUM(J25:J27)</f>
        <v>243775.72999999998</v>
      </c>
      <c r="K24" s="3065"/>
      <c r="L24" s="3066">
        <f>SUM(L25:L27)</f>
        <v>242564.02767508518</v>
      </c>
      <c r="M24" s="3065"/>
      <c r="N24" s="3066">
        <f>SUM(N25:N27)</f>
        <v>243498.18048107834</v>
      </c>
      <c r="O24" s="3065"/>
      <c r="P24" s="3066">
        <f>SUM(P25:P27)</f>
        <v>245613.10383977837</v>
      </c>
      <c r="Q24" s="3065"/>
      <c r="R24" s="122">
        <f>SUM(R25:R27)</f>
        <v>247773.27653572842</v>
      </c>
      <c r="S24" s="25"/>
      <c r="T24" s="3188">
        <f>(((N24/B24)^(1/6)-1))</f>
        <v>3.7002470186553005E-2</v>
      </c>
      <c r="U24" s="25"/>
      <c r="V24" s="3189">
        <f>(P24-N24)/N24</f>
        <v>8.6855817752789326E-3</v>
      </c>
      <c r="W24" s="25"/>
      <c r="X24" s="3190">
        <f>(R24-P24)/P24</f>
        <v>8.7950221799208434E-3</v>
      </c>
    </row>
    <row r="25" spans="1:26">
      <c r="A25" s="15" t="s">
        <v>20</v>
      </c>
      <c r="B25" s="3067">
        <f t="shared" ref="B25:D29" si="66">B61+B385+B565+B601+B637+B673+B709</f>
        <v>166687.26300000001</v>
      </c>
      <c r="C25" s="3068"/>
      <c r="D25" s="3069">
        <f t="shared" si="66"/>
        <v>170815.823</v>
      </c>
      <c r="E25" s="3068"/>
      <c r="F25" s="3069">
        <f t="shared" ref="F25" si="67">F61+F385+F565+F601+F637+F673+F709</f>
        <v>178095.21100000001</v>
      </c>
      <c r="G25" s="3068"/>
      <c r="H25" s="3069">
        <f t="shared" ref="H25" si="68">H61+H385+H565+H601+H637+H673+H709</f>
        <v>201829.10500000004</v>
      </c>
      <c r="I25" s="3068"/>
      <c r="J25" s="3069">
        <f t="shared" ref="J25" si="69">J61+J385+J565+J601+J637+J673+J709</f>
        <v>207817.47199999998</v>
      </c>
      <c r="K25" s="3068"/>
      <c r="L25" s="3069">
        <f t="shared" ref="L25" si="70">L61+L385+L565+L601+L637+L673+L709</f>
        <v>204929.34046281819</v>
      </c>
      <c r="M25" s="3068"/>
      <c r="N25" s="3069">
        <f t="shared" ref="N25" si="71">N61+N385+N565+N601+N637+N673+N709</f>
        <v>205923.02340579272</v>
      </c>
      <c r="O25" s="3068"/>
      <c r="P25" s="3085">
        <f t="shared" ref="P25" si="72">P61+P385+P565+P601+P637+P673+P709</f>
        <v>207904.75815229275</v>
      </c>
      <c r="Q25" s="3068"/>
      <c r="R25" s="169">
        <f t="shared" ref="R25" si="73">R61+R385+R565+R601+R637+R673+R709</f>
        <v>209951.44739796221</v>
      </c>
      <c r="S25" s="34"/>
      <c r="T25" s="3191">
        <f t="shared" ref="T25:T28" si="74">(((N25/B25)^(1/6)-1))</f>
        <v>3.5858454606220835E-2</v>
      </c>
      <c r="U25" s="77"/>
      <c r="V25" s="78">
        <f t="shared" ref="V25:V36" si="75">(P25-N25)/N25</f>
        <v>9.6236676876816276E-3</v>
      </c>
      <c r="W25" s="77"/>
      <c r="X25" s="3192">
        <f t="shared" ref="X25:X36" si="76">(R25-P25)/P25</f>
        <v>9.8443598109969072E-3</v>
      </c>
      <c r="Z25" s="3259"/>
    </row>
    <row r="26" spans="1:26">
      <c r="A26" s="15" t="s">
        <v>17</v>
      </c>
      <c r="B26" s="3067">
        <f t="shared" si="66"/>
        <v>27100.854000000003</v>
      </c>
      <c r="C26" s="3068"/>
      <c r="D26" s="3069">
        <f t="shared" si="66"/>
        <v>28435.114000000001</v>
      </c>
      <c r="E26" s="3068"/>
      <c r="F26" s="3069">
        <f t="shared" ref="F26" si="77">F62+F386+F566+F602+F638+F674+F710</f>
        <v>30697.944</v>
      </c>
      <c r="G26" s="3068"/>
      <c r="H26" s="3069">
        <f t="shared" ref="H26" si="78">H62+H386+H566+H602+H638+H674+H710</f>
        <v>32045.279999999999</v>
      </c>
      <c r="I26" s="3068"/>
      <c r="J26" s="3069">
        <f t="shared" ref="J26" si="79">J62+J386+J566+J602+J638+J674+J710</f>
        <v>32914.779000000002</v>
      </c>
      <c r="K26" s="3068"/>
      <c r="L26" s="3069">
        <f t="shared" ref="L26" si="80">L62+L386+L566+L602+L638+L674+L710</f>
        <v>34597.878212266987</v>
      </c>
      <c r="M26" s="3068"/>
      <c r="N26" s="3069">
        <f t="shared" ref="N26" si="81">N62+N386+N566+N602+N638+N674+N710</f>
        <v>34573.323075285625</v>
      </c>
      <c r="O26" s="3068"/>
      <c r="P26" s="3085">
        <f t="shared" ref="P26" si="82">P62+P386+P566+P602+P638+P674+P710</f>
        <v>34653.382505485628</v>
      </c>
      <c r="Q26" s="3068"/>
      <c r="R26" s="169">
        <f t="shared" ref="R26" si="83">R62+R386+R566+R602+R638+R674+R710</f>
        <v>34750.434802580225</v>
      </c>
      <c r="S26" s="34"/>
      <c r="T26" s="3191">
        <f t="shared" si="74"/>
        <v>4.1421065047198002E-2</v>
      </c>
      <c r="U26" s="77"/>
      <c r="V26" s="78">
        <f t="shared" si="75"/>
        <v>2.3156417456797005E-3</v>
      </c>
      <c r="W26" s="77"/>
      <c r="X26" s="3192">
        <f t="shared" si="76"/>
        <v>2.8006586970040618E-3</v>
      </c>
    </row>
    <row r="27" spans="1:26">
      <c r="A27" s="15" t="s">
        <v>154</v>
      </c>
      <c r="B27" s="3067">
        <f t="shared" si="66"/>
        <v>2013.816</v>
      </c>
      <c r="C27" s="3068"/>
      <c r="D27" s="3069">
        <f t="shared" si="66"/>
        <v>2075.4540000000002</v>
      </c>
      <c r="E27" s="3068"/>
      <c r="F27" s="3069">
        <f t="shared" ref="F27" si="84">F63+F387+F567+F603+F639+F675+F711</f>
        <v>2338.4810000000002</v>
      </c>
      <c r="G27" s="3068"/>
      <c r="H27" s="3069">
        <f t="shared" ref="H27" si="85">H63+H387+H567+H603+H639+H675+H711</f>
        <v>2822.9140000000002</v>
      </c>
      <c r="I27" s="3068"/>
      <c r="J27" s="3069">
        <f t="shared" ref="J27" si="86">J63+J387+J567+J603+J639+J675+J711</f>
        <v>3043.4789999999998</v>
      </c>
      <c r="K27" s="3068"/>
      <c r="L27" s="3069">
        <f t="shared" ref="L27" si="87">L63+L387+L567+L603+L639+L675+L711</f>
        <v>3036.8090000000002</v>
      </c>
      <c r="M27" s="3068"/>
      <c r="N27" s="3069">
        <f t="shared" ref="N27" si="88">N63+N387+N567+N603+N639+N675+N711</f>
        <v>3001.8339999999998</v>
      </c>
      <c r="O27" s="3068"/>
      <c r="P27" s="3085">
        <f t="shared" ref="P27" si="89">P63+P387+P567+P603+P639+P675+P711</f>
        <v>3054.963182</v>
      </c>
      <c r="Q27" s="3068"/>
      <c r="R27" s="169">
        <f t="shared" ref="R27" si="90">R63+R387+R567+R603+R639+R675+R711</f>
        <v>3071.3943351859998</v>
      </c>
      <c r="S27" s="34"/>
      <c r="T27" s="3191">
        <f t="shared" si="74"/>
        <v>6.8795165964945282E-2</v>
      </c>
      <c r="U27" s="77"/>
      <c r="V27" s="78">
        <f t="shared" si="75"/>
        <v>1.7698907401275398E-2</v>
      </c>
      <c r="W27" s="77"/>
      <c r="X27" s="3192">
        <f t="shared" si="76"/>
        <v>5.3785110350308132E-3</v>
      </c>
    </row>
    <row r="28" spans="1:26">
      <c r="A28" s="15" t="s">
        <v>21</v>
      </c>
      <c r="B28" s="3064">
        <f>SUM(B29:B31)</f>
        <v>24268.842000000001</v>
      </c>
      <c r="C28" s="3065"/>
      <c r="D28" s="3066">
        <f>SUM(D29:D31)</f>
        <v>24695.161999999997</v>
      </c>
      <c r="E28" s="3065"/>
      <c r="F28" s="3066">
        <f>SUM(F29:F31)</f>
        <v>25465.064999999995</v>
      </c>
      <c r="G28" s="3065"/>
      <c r="H28" s="3066">
        <f>SUM(H29:H31)</f>
        <v>26182.273999999998</v>
      </c>
      <c r="I28" s="3065"/>
      <c r="J28" s="3066">
        <f>SUM(J29:J31)</f>
        <v>26401.614999999998</v>
      </c>
      <c r="K28" s="3065"/>
      <c r="L28" s="3066">
        <f>SUM(L29:L31)</f>
        <v>26453.19</v>
      </c>
      <c r="M28" s="3065"/>
      <c r="N28" s="3066">
        <f>SUM(N29:N31)</f>
        <v>26514.93</v>
      </c>
      <c r="O28" s="3065"/>
      <c r="P28" s="3066">
        <f>SUM(P29:P31)</f>
        <v>26683.53</v>
      </c>
      <c r="Q28" s="3065"/>
      <c r="R28" s="122">
        <f>SUM(R29:R31)</f>
        <v>26738.756000000001</v>
      </c>
      <c r="S28" s="34"/>
      <c r="T28" s="3197">
        <f t="shared" si="74"/>
        <v>1.4861798590794617E-2</v>
      </c>
      <c r="U28" s="1480"/>
      <c r="V28" s="1479">
        <f t="shared" si="75"/>
        <v>6.3586816936721515E-3</v>
      </c>
      <c r="W28" s="1480"/>
      <c r="X28" s="3198">
        <f t="shared" si="76"/>
        <v>2.0696661948401275E-3</v>
      </c>
    </row>
    <row r="29" spans="1:26">
      <c r="A29" s="15" t="s">
        <v>20</v>
      </c>
      <c r="B29" s="3067">
        <f t="shared" si="66"/>
        <v>11184.342999999999</v>
      </c>
      <c r="C29" s="3068"/>
      <c r="D29" s="3069">
        <f t="shared" ref="D29" si="91">D65+D389+D569+D605+D641+D677+D713</f>
        <v>11468.147999999999</v>
      </c>
      <c r="E29" s="3068"/>
      <c r="F29" s="3069">
        <f t="shared" ref="F29" si="92">F65+F389+F569+F605+F641+F677+F713</f>
        <v>11753.555999999997</v>
      </c>
      <c r="G29" s="3068"/>
      <c r="H29" s="3069">
        <f t="shared" ref="H29" si="93">H65+H389+H569+H605+H641+H677+H713</f>
        <v>12067.120999999999</v>
      </c>
      <c r="I29" s="3068"/>
      <c r="J29" s="3069">
        <f t="shared" ref="J29" si="94">J65+J389+J569+J605+J641+J677+J713</f>
        <v>11820.483</v>
      </c>
      <c r="K29" s="3068"/>
      <c r="L29" s="3069">
        <f t="shared" ref="L29" si="95">L65+L389+L569+L605+L641+L677+L713</f>
        <v>11772.128000000001</v>
      </c>
      <c r="M29" s="3068"/>
      <c r="N29" s="3069">
        <f t="shared" ref="N29" si="96">N65+N389+N569+N605+N641+N677+N713</f>
        <v>11843.490000000002</v>
      </c>
      <c r="O29" s="3068"/>
      <c r="P29" s="3085">
        <f t="shared" ref="P29" si="97">P65+P389+P569+P605+P641+P677+P713</f>
        <v>11937.390000000001</v>
      </c>
      <c r="Q29" s="3068"/>
      <c r="R29" s="169">
        <f t="shared" ref="R29" si="98">R65+R389+R569+R605+R641+R677+R713</f>
        <v>11972.673999999999</v>
      </c>
      <c r="S29" s="34"/>
      <c r="T29" s="3191">
        <f>(((N29/B29)^(1/6)-1))</f>
        <v>9.5896043491354721E-3</v>
      </c>
      <c r="U29" s="77"/>
      <c r="V29" s="78">
        <f t="shared" si="75"/>
        <v>7.9284062383638294E-3</v>
      </c>
      <c r="W29" s="77"/>
      <c r="X29" s="3192">
        <f t="shared" si="76"/>
        <v>2.955754984967219E-3</v>
      </c>
    </row>
    <row r="30" spans="1:26">
      <c r="A30" s="15" t="s">
        <v>17</v>
      </c>
      <c r="B30" s="3067">
        <f t="shared" ref="B30:D30" si="99">B66+B390+B570+B606+B642+B678+B714</f>
        <v>12804.815000000001</v>
      </c>
      <c r="C30" s="3068"/>
      <c r="D30" s="3069">
        <f t="shared" si="99"/>
        <v>12926.679999999998</v>
      </c>
      <c r="E30" s="3068"/>
      <c r="F30" s="3069">
        <f t="shared" ref="F30" si="100">F66+F390+F570+F606+F642+F678+F714</f>
        <v>13365.916999999998</v>
      </c>
      <c r="G30" s="3068"/>
      <c r="H30" s="3069">
        <f t="shared" ref="H30" si="101">H66+H390+H570+H606+H642+H678+H714</f>
        <v>13739.528</v>
      </c>
      <c r="I30" s="3068"/>
      <c r="J30" s="3069">
        <f t="shared" ref="J30" si="102">J66+J390+J570+J606+J642+J678+J714</f>
        <v>14240.365</v>
      </c>
      <c r="K30" s="3068"/>
      <c r="L30" s="3069">
        <f t="shared" ref="L30" si="103">L66+L390+L570+L606+L642+L678+L714</f>
        <v>14314.961000000001</v>
      </c>
      <c r="M30" s="3068"/>
      <c r="N30" s="3069">
        <f t="shared" ref="N30" si="104">N66+N390+N570+N606+N642+N678+N714</f>
        <v>14304.439999999999</v>
      </c>
      <c r="O30" s="3068"/>
      <c r="P30" s="3085">
        <f t="shared" ref="P30" si="105">P66+P390+P570+P606+P642+P678+P714</f>
        <v>14377.14</v>
      </c>
      <c r="Q30" s="3068"/>
      <c r="R30" s="169">
        <f t="shared" ref="R30" si="106">R66+R390+R570+R606+R642+R678+R714</f>
        <v>14397.082</v>
      </c>
      <c r="S30" s="34"/>
      <c r="T30" s="3191">
        <f t="shared" ref="T30:T34" si="107">(((N30/B30)^(1/6)-1))</f>
        <v>1.8629521783062986E-2</v>
      </c>
      <c r="U30" s="77"/>
      <c r="V30" s="78">
        <f t="shared" si="75"/>
        <v>5.0823380712562488E-3</v>
      </c>
      <c r="W30" s="77"/>
      <c r="X30" s="3192">
        <f t="shared" si="76"/>
        <v>1.3870630737407384E-3</v>
      </c>
    </row>
    <row r="31" spans="1:26">
      <c r="A31" s="15" t="s">
        <v>154</v>
      </c>
      <c r="B31" s="3067">
        <f t="shared" ref="B31:D33" si="108">B67+B391+B571+B607+B643+B679+B715</f>
        <v>279.68399999999997</v>
      </c>
      <c r="C31" s="3068"/>
      <c r="D31" s="3069">
        <f t="shared" si="108"/>
        <v>300.33399999999995</v>
      </c>
      <c r="E31" s="3068"/>
      <c r="F31" s="3069">
        <f t="shared" ref="F31" si="109">F67+F391+F571+F607+F643+F679+F715</f>
        <v>345.59199999999993</v>
      </c>
      <c r="G31" s="3068"/>
      <c r="H31" s="3069">
        <f t="shared" ref="H31" si="110">H67+H391+H571+H607+H643+H679+H715</f>
        <v>375.625</v>
      </c>
      <c r="I31" s="3068"/>
      <c r="J31" s="3069">
        <f t="shared" ref="J31" si="111">J67+J391+J571+J607+J643+J679+J715</f>
        <v>340.76700000000005</v>
      </c>
      <c r="K31" s="3068"/>
      <c r="L31" s="3069">
        <f t="shared" ref="L31" si="112">L67+L391+L571+L607+L643+L679+L715</f>
        <v>366.101</v>
      </c>
      <c r="M31" s="3068"/>
      <c r="N31" s="3069">
        <f t="shared" ref="N31" si="113">N67+N391+N571+N607+N643+N679+N715</f>
        <v>367</v>
      </c>
      <c r="O31" s="3068"/>
      <c r="P31" s="3085">
        <f t="shared" ref="P31" si="114">P67+P391+P571+P607+P643+P679+P715</f>
        <v>369</v>
      </c>
      <c r="Q31" s="3068"/>
      <c r="R31" s="169">
        <f t="shared" ref="R31" si="115">R67+R391+R571+R607+R643+R679+R715</f>
        <v>369</v>
      </c>
      <c r="S31" s="34"/>
      <c r="T31" s="3191">
        <f t="shared" si="107"/>
        <v>4.632452995417391E-2</v>
      </c>
      <c r="U31" s="77"/>
      <c r="V31" s="78">
        <f t="shared" si="75"/>
        <v>5.4495912806539508E-3</v>
      </c>
      <c r="W31" s="77"/>
      <c r="X31" s="3192">
        <f t="shared" si="76"/>
        <v>0</v>
      </c>
    </row>
    <row r="32" spans="1:26">
      <c r="A32" s="18" t="s">
        <v>22</v>
      </c>
      <c r="B32" s="3064">
        <f>SUM(B33:B35)</f>
        <v>6681.6200000000008</v>
      </c>
      <c r="C32" s="3065"/>
      <c r="D32" s="3066">
        <f>SUM(D33:D35)</f>
        <v>6730.2599999999993</v>
      </c>
      <c r="E32" s="3065"/>
      <c r="F32" s="3066">
        <f>SUM(F33:F35)</f>
        <v>6798.6900000000005</v>
      </c>
      <c r="G32" s="3065"/>
      <c r="H32" s="3066">
        <f>SUM(H33:H35)</f>
        <v>6992.95</v>
      </c>
      <c r="I32" s="3065"/>
      <c r="J32" s="3066">
        <f>SUM(J33:J35)</f>
        <v>7133.2869999999994</v>
      </c>
      <c r="K32" s="3065"/>
      <c r="L32" s="3066">
        <f>SUM(L33:L35)</f>
        <v>7228.2550000000001</v>
      </c>
      <c r="M32" s="3065"/>
      <c r="N32" s="3066">
        <f>SUM(N33:N35)</f>
        <v>7310.0999999999995</v>
      </c>
      <c r="O32" s="3065"/>
      <c r="P32" s="3066">
        <f>SUM(P33:P35)</f>
        <v>7340.2999999999993</v>
      </c>
      <c r="Q32" s="3065"/>
      <c r="R32" s="122">
        <f>SUM(R33:R35)</f>
        <v>7340.5</v>
      </c>
      <c r="S32" s="34"/>
      <c r="T32" s="3197">
        <f t="shared" si="107"/>
        <v>1.5095550757521448E-2</v>
      </c>
      <c r="U32" s="1480"/>
      <c r="V32" s="1479">
        <f t="shared" si="75"/>
        <v>4.1312704340569651E-3</v>
      </c>
      <c r="W32" s="1480"/>
      <c r="X32" s="3198">
        <f t="shared" si="76"/>
        <v>2.724684277219291E-5</v>
      </c>
    </row>
    <row r="33" spans="1:27">
      <c r="A33" s="15" t="s">
        <v>20</v>
      </c>
      <c r="B33" s="3067">
        <f t="shared" si="108"/>
        <v>4965.0200000000004</v>
      </c>
      <c r="C33" s="3068"/>
      <c r="D33" s="3069">
        <f t="shared" ref="D33" si="116">D69+D393+D573+D609+D645+D681+D717</f>
        <v>4903.4399999999996</v>
      </c>
      <c r="E33" s="3068"/>
      <c r="F33" s="3069">
        <f t="shared" ref="F33" si="117">F69+F393+F573+F609+F645+F681+F717</f>
        <v>4947.6500000000005</v>
      </c>
      <c r="G33" s="3068"/>
      <c r="H33" s="3069">
        <f t="shared" ref="H33" si="118">H69+H393+H573+H609+H645+H681+H717</f>
        <v>5079.9299999999994</v>
      </c>
      <c r="I33" s="3068"/>
      <c r="J33" s="3069">
        <f t="shared" ref="J33" si="119">J69+J393+J573+J609+J645+J681+J717</f>
        <v>5141.4839999999995</v>
      </c>
      <c r="K33" s="3068"/>
      <c r="L33" s="3069">
        <f t="shared" ref="L33" si="120">L69+L393+L573+L609+L645+L681+L717</f>
        <v>5195.7889999999998</v>
      </c>
      <c r="M33" s="3068"/>
      <c r="N33" s="3069">
        <f t="shared" ref="N33" si="121">N69+N393+N573+N609+N645+N681+N717</f>
        <v>5248.7</v>
      </c>
      <c r="O33" s="3068"/>
      <c r="P33" s="3085">
        <f t="shared" ref="P33" si="122">P69+P393+P573+P609+P645+P681+P717</f>
        <v>5262.7999999999993</v>
      </c>
      <c r="Q33" s="3068"/>
      <c r="R33" s="169">
        <f t="shared" ref="R33" si="123">R69+R393+R573+R609+R645+R681+R717</f>
        <v>5262.9</v>
      </c>
      <c r="S33" s="34"/>
      <c r="T33" s="3191">
        <f t="shared" si="107"/>
        <v>9.3035281204258968E-3</v>
      </c>
      <c r="U33" s="77"/>
      <c r="V33" s="78">
        <f t="shared" si="75"/>
        <v>2.6863794844436632E-3</v>
      </c>
      <c r="W33" s="77"/>
      <c r="X33" s="3192">
        <f t="shared" si="76"/>
        <v>1.9001292087931102E-5</v>
      </c>
    </row>
    <row r="34" spans="1:27">
      <c r="A34" s="15" t="s">
        <v>17</v>
      </c>
      <c r="B34" s="3067">
        <f t="shared" ref="B34" si="124">B70+B394+B574+B610+B646+B682+B718</f>
        <v>1716.6000000000001</v>
      </c>
      <c r="C34" s="3068"/>
      <c r="D34" s="3069">
        <f t="shared" ref="D34" si="125">D70+D394+D574+D610+D646+D682+D718</f>
        <v>1826.82</v>
      </c>
      <c r="E34" s="3068"/>
      <c r="F34" s="3069">
        <f t="shared" ref="F34" si="126">F70+F394+F574+F610+F646+F682+F718</f>
        <v>1851.04</v>
      </c>
      <c r="G34" s="3068"/>
      <c r="H34" s="3069">
        <f t="shared" ref="H34" si="127">H70+H394+H574+H610+H646+H682+H718</f>
        <v>1912.2199999999998</v>
      </c>
      <c r="I34" s="3068"/>
      <c r="J34" s="3069">
        <f t="shared" ref="J34" si="128">J70+J394+J574+J610+J646+J682+J718</f>
        <v>1991.8029999999999</v>
      </c>
      <c r="K34" s="3068"/>
      <c r="L34" s="3069">
        <f t="shared" ref="L34" si="129">L70+L394+L574+L610+L646+L682+L718</f>
        <v>2032.3659999999998</v>
      </c>
      <c r="M34" s="3068"/>
      <c r="N34" s="3069">
        <f t="shared" ref="N34" si="130">N70+N394+N574+N610+N646+N682+N718</f>
        <v>2061.3999999999996</v>
      </c>
      <c r="O34" s="3068"/>
      <c r="P34" s="3085">
        <f t="shared" ref="P34" si="131">P70+P394+P574+P610+P646+P682+P718</f>
        <v>2077.5</v>
      </c>
      <c r="Q34" s="3068"/>
      <c r="R34" s="169">
        <f t="shared" ref="R34" si="132">R70+R394+R574+R610+R646+R682+R718</f>
        <v>2077.6</v>
      </c>
      <c r="S34" s="34"/>
      <c r="T34" s="3191">
        <f t="shared" si="107"/>
        <v>3.0976724253745092E-2</v>
      </c>
      <c r="U34" s="77"/>
      <c r="V34" s="78">
        <f t="shared" si="75"/>
        <v>7.8102260599594289E-3</v>
      </c>
      <c r="W34" s="77"/>
      <c r="X34" s="3192">
        <f t="shared" si="76"/>
        <v>4.8134777376610854E-5</v>
      </c>
    </row>
    <row r="35" spans="1:27" ht="13.8" thickBot="1">
      <c r="A35" s="102" t="s">
        <v>154</v>
      </c>
      <c r="B35" s="2579">
        <f t="shared" ref="B35" si="133">B71+B395+B575+B611+B647+B683+B719</f>
        <v>0</v>
      </c>
      <c r="C35" s="3071"/>
      <c r="D35" s="3072">
        <f t="shared" ref="D35" si="134">D71+D395+D575+D611+D647+D683+D719</f>
        <v>0</v>
      </c>
      <c r="E35" s="3071"/>
      <c r="F35" s="3072">
        <f t="shared" ref="F35" si="135">F71+F395+F575+F611+F647+F683+F719</f>
        <v>0</v>
      </c>
      <c r="G35" s="3071"/>
      <c r="H35" s="3072">
        <f t="shared" ref="H35" si="136">H71+H395+H575+H611+H647+H683+H719</f>
        <v>0.8</v>
      </c>
      <c r="I35" s="3071"/>
      <c r="J35" s="3072">
        <f t="shared" ref="J35" si="137">J71+J395+J575+J611+J647+J683+J719</f>
        <v>0</v>
      </c>
      <c r="K35" s="3071"/>
      <c r="L35" s="3072">
        <f t="shared" ref="L35" si="138">L71+L395+L575+L611+L647+L683+L719</f>
        <v>0.1</v>
      </c>
      <c r="M35" s="3071"/>
      <c r="N35" s="3072">
        <f t="shared" ref="N35" si="139">N71+N395+N575+N611+N647+N683+N719</f>
        <v>0</v>
      </c>
      <c r="O35" s="3071"/>
      <c r="P35" s="3183">
        <f t="shared" ref="P35" si="140">P71+P395+P575+P611+P647+P683+P719</f>
        <v>0</v>
      </c>
      <c r="Q35" s="3071"/>
      <c r="R35" s="3184">
        <f t="shared" ref="R35" si="141">R71+R395+R575+R611+R647+R683+R719</f>
        <v>0</v>
      </c>
      <c r="S35" s="36"/>
      <c r="T35" s="3193">
        <v>0</v>
      </c>
      <c r="U35" s="3194"/>
      <c r="V35" s="3195">
        <v>0</v>
      </c>
      <c r="W35" s="3194"/>
      <c r="X35" s="3196">
        <v>0</v>
      </c>
    </row>
    <row r="36" spans="1:27" ht="13.8" thickTop="1">
      <c r="A36" s="13" t="s">
        <v>25</v>
      </c>
      <c r="B36" s="123">
        <f>B24+B28+B32</f>
        <v>226752.39499999999</v>
      </c>
      <c r="C36" s="124"/>
      <c r="D36" s="1869">
        <f>D24+D28+D32</f>
        <v>232751.81300000002</v>
      </c>
      <c r="E36" s="124"/>
      <c r="F36" s="1869">
        <f>F24+F28+F32</f>
        <v>243395.391</v>
      </c>
      <c r="G36" s="124"/>
      <c r="H36" s="1869">
        <f>H24+H28+H32</f>
        <v>269872.52300000004</v>
      </c>
      <c r="I36" s="124"/>
      <c r="J36" s="1869">
        <f>J24+J28+J32</f>
        <v>277310.63199999998</v>
      </c>
      <c r="K36" s="124"/>
      <c r="L36" s="1869">
        <f>L24+L28+L32</f>
        <v>276245.47267508518</v>
      </c>
      <c r="M36" s="124"/>
      <c r="N36" s="1869">
        <f>N24+N28+N32</f>
        <v>277323.21048107831</v>
      </c>
      <c r="O36" s="124"/>
      <c r="P36" s="3066">
        <f>P24+P28+P32</f>
        <v>279636.93383977836</v>
      </c>
      <c r="Q36" s="124"/>
      <c r="R36" s="122">
        <f>R24+R28+R32</f>
        <v>281852.53253572842</v>
      </c>
      <c r="S36" s="26"/>
      <c r="T36" s="3197">
        <f t="shared" ref="T36" si="142">(((N36/B36)^(1/6)-1))</f>
        <v>3.4123457158306225E-2</v>
      </c>
      <c r="U36" s="1480"/>
      <c r="V36" s="1479">
        <f t="shared" si="75"/>
        <v>8.3430570224770871E-3</v>
      </c>
      <c r="W36" s="1480"/>
      <c r="X36" s="3198">
        <f t="shared" si="76"/>
        <v>7.9231261247468664E-3</v>
      </c>
    </row>
    <row r="37" spans="1:27" ht="8.25" customHeight="1" thickBot="1">
      <c r="A37" s="58"/>
      <c r="B37" s="126"/>
      <c r="C37" s="3068"/>
      <c r="D37" s="3068"/>
      <c r="E37" s="3068"/>
      <c r="F37" s="3068"/>
      <c r="G37" s="3068"/>
      <c r="H37" s="3068"/>
      <c r="I37" s="3068"/>
      <c r="J37" s="3068"/>
      <c r="K37" s="3068"/>
      <c r="L37" s="3068"/>
      <c r="M37" s="3068"/>
      <c r="N37" s="3068"/>
      <c r="O37" s="3068"/>
      <c r="P37" s="3065"/>
      <c r="Q37" s="3068"/>
      <c r="R37" s="127"/>
      <c r="S37" s="34"/>
      <c r="T37" s="84"/>
      <c r="U37" s="34"/>
      <c r="V37" s="34"/>
      <c r="W37" s="34"/>
      <c r="X37" s="42"/>
    </row>
    <row r="38" spans="1:27">
      <c r="A38" s="51" t="s">
        <v>78</v>
      </c>
      <c r="B38" s="115"/>
      <c r="C38" s="3073"/>
      <c r="D38" s="116"/>
      <c r="E38" s="3073"/>
      <c r="F38" s="116"/>
      <c r="G38" s="3073"/>
      <c r="H38" s="117"/>
      <c r="I38" s="3073"/>
      <c r="J38" s="117"/>
      <c r="K38" s="3073"/>
      <c r="L38" s="117"/>
      <c r="M38" s="3073"/>
      <c r="N38" s="117"/>
      <c r="O38" s="3073"/>
      <c r="P38" s="118"/>
      <c r="Q38" s="3073"/>
      <c r="R38" s="119"/>
      <c r="S38" s="45"/>
      <c r="T38" s="86"/>
      <c r="U38" s="45"/>
      <c r="V38" s="47"/>
      <c r="W38" s="45"/>
      <c r="X38" s="85"/>
    </row>
    <row r="39" spans="1:27">
      <c r="A39" s="18" t="s">
        <v>79</v>
      </c>
      <c r="B39" s="3067">
        <f t="shared" ref="B39:D40" si="143">B75+B399+B579+B615+B651+B687+B723</f>
        <v>17746</v>
      </c>
      <c r="C39" s="3065"/>
      <c r="D39" s="217">
        <f t="shared" si="143"/>
        <v>22127</v>
      </c>
      <c r="E39" s="3084"/>
      <c r="F39" s="217">
        <f t="shared" ref="F39" si="144">F75+F399+F579+F615+F651+F687+F723</f>
        <v>31445</v>
      </c>
      <c r="G39" s="3084"/>
      <c r="H39" s="218">
        <f t="shared" ref="H39" si="145">H75+H399+H579+H615+H651+H687+H723</f>
        <v>44177</v>
      </c>
      <c r="I39" s="3084"/>
      <c r="J39" s="218">
        <f t="shared" ref="J39" si="146">J75+J399+J579+J615+J651+J687+J723</f>
        <v>49675</v>
      </c>
      <c r="K39" s="3084"/>
      <c r="L39" s="218">
        <f t="shared" ref="L39" si="147">L75+L399+L579+L615+L651+L687+L723</f>
        <v>58850.32</v>
      </c>
      <c r="M39" s="3084"/>
      <c r="N39" s="218">
        <f t="shared" ref="N39" si="148">N75+N399+N579+N615+N651+N687+N723</f>
        <v>60011.115999999995</v>
      </c>
      <c r="O39" s="3084"/>
      <c r="P39" s="3085">
        <f t="shared" ref="P39" si="149">P75+P399+P579+P615+P651+P687+P723</f>
        <v>61384.394589999996</v>
      </c>
      <c r="Q39" s="3084"/>
      <c r="R39" s="169">
        <f t="shared" ref="R39" si="150">R75+R399+R579+R615+R651+R687+R723</f>
        <v>62519.308726169998</v>
      </c>
      <c r="S39" s="25"/>
      <c r="T39" s="3191">
        <f t="shared" ref="T39:T40" si="151">(((N39/B39)^(1/6)-1))</f>
        <v>0.22514795000636134</v>
      </c>
      <c r="U39" s="77"/>
      <c r="V39" s="78">
        <f t="shared" ref="V39:V40" si="152">(P39-N39)/N39</f>
        <v>2.2883736906342517E-2</v>
      </c>
      <c r="W39" s="77"/>
      <c r="X39" s="3192">
        <f t="shared" ref="X39:X40" si="153">(R39-P39)/P39</f>
        <v>1.8488642655032205E-2</v>
      </c>
    </row>
    <row r="40" spans="1:27" ht="13.8" thickBot="1">
      <c r="A40" s="24" t="s">
        <v>80</v>
      </c>
      <c r="B40" s="3185">
        <f t="shared" si="143"/>
        <v>3236</v>
      </c>
      <c r="C40" s="3082"/>
      <c r="D40" s="221">
        <f t="shared" si="143"/>
        <v>4318.3999999999996</v>
      </c>
      <c r="E40" s="220"/>
      <c r="F40" s="221">
        <f t="shared" ref="F40" si="154">F76+F400+F580+F616+F652+F688+F724</f>
        <v>5310.4</v>
      </c>
      <c r="G40" s="220"/>
      <c r="H40" s="222">
        <f t="shared" ref="H40" si="155">H76+H400+H580+H616+H652+H688+H724</f>
        <v>8305.6999999999989</v>
      </c>
      <c r="I40" s="220"/>
      <c r="J40" s="222">
        <f t="shared" ref="J40" si="156">J76+J400+J580+J616+J652+J688+J724</f>
        <v>9183.5999999999985</v>
      </c>
      <c r="K40" s="220"/>
      <c r="L40" s="222">
        <f t="shared" ref="L40" si="157">L76+L400+L580+L616+L652+L688+L724</f>
        <v>10588.155999999999</v>
      </c>
      <c r="M40" s="220"/>
      <c r="N40" s="222">
        <f t="shared" ref="N40" si="158">N76+N400+N580+N616+N652+N688+N724</f>
        <v>10773.415499999999</v>
      </c>
      <c r="O40" s="220"/>
      <c r="P40" s="3186">
        <f t="shared" ref="P40" si="159">P76+P400+P580+P616+P652+P688+P724</f>
        <v>11022.948799100001</v>
      </c>
      <c r="Q40" s="220"/>
      <c r="R40" s="3187">
        <f t="shared" ref="R40" si="160">R76+R400+R580+R616+R652+R688+R724</f>
        <v>11221.3987914593</v>
      </c>
      <c r="S40" s="94"/>
      <c r="T40" s="3191">
        <f t="shared" si="151"/>
        <v>0.2219613870637267</v>
      </c>
      <c r="U40" s="77"/>
      <c r="V40" s="78">
        <f t="shared" si="152"/>
        <v>2.3161948882413512E-2</v>
      </c>
      <c r="W40" s="77"/>
      <c r="X40" s="3192">
        <f t="shared" si="153"/>
        <v>1.8003348829444109E-2</v>
      </c>
      <c r="Y40" s="3259"/>
      <c r="Z40" s="3899"/>
      <c r="AA40" s="3899"/>
    </row>
    <row r="41" spans="1:27" s="860" customFormat="1" ht="13.8" thickBot="1">
      <c r="A41" s="111"/>
      <c r="B41" s="112"/>
      <c r="C41" s="112"/>
      <c r="D41" s="112"/>
      <c r="E41" s="112"/>
      <c r="F41" s="113"/>
      <c r="G41" s="112"/>
      <c r="H41" s="112"/>
      <c r="I41" s="112"/>
      <c r="J41" s="112"/>
      <c r="K41" s="112"/>
      <c r="L41" s="112"/>
      <c r="M41" s="112"/>
      <c r="N41" s="112"/>
      <c r="O41" s="112"/>
      <c r="P41" s="112"/>
      <c r="Q41" s="112"/>
      <c r="R41" s="112"/>
      <c r="S41" s="112"/>
      <c r="T41" s="112"/>
      <c r="U41" s="112"/>
      <c r="V41" s="112"/>
      <c r="W41" s="112"/>
      <c r="X41" s="112"/>
    </row>
    <row r="42" spans="1:27" s="861" customFormat="1">
      <c r="A42" s="114" t="s">
        <v>188</v>
      </c>
      <c r="B42" s="885" t="s">
        <v>13</v>
      </c>
      <c r="C42" s="3051"/>
      <c r="D42" s="887" t="s">
        <v>13</v>
      </c>
      <c r="E42" s="886"/>
      <c r="F42" s="888" t="s">
        <v>13</v>
      </c>
      <c r="G42" s="886"/>
      <c r="H42" s="888" t="s">
        <v>13</v>
      </c>
      <c r="I42" s="886"/>
      <c r="J42" s="888" t="s">
        <v>13</v>
      </c>
      <c r="K42" s="886"/>
      <c r="L42" s="889" t="s">
        <v>14</v>
      </c>
      <c r="M42" s="886"/>
      <c r="N42" s="889" t="s">
        <v>15</v>
      </c>
      <c r="O42" s="886"/>
      <c r="P42" s="890" t="s">
        <v>16</v>
      </c>
      <c r="Q42" s="886"/>
      <c r="R42" s="891" t="s">
        <v>16</v>
      </c>
      <c r="S42" s="886"/>
      <c r="T42" s="892" t="s">
        <v>62</v>
      </c>
      <c r="U42" s="893"/>
      <c r="V42" s="894" t="s">
        <v>75</v>
      </c>
      <c r="W42" s="893"/>
      <c r="X42" s="895" t="s">
        <v>75</v>
      </c>
    </row>
    <row r="43" spans="1:27" s="861" customFormat="1" ht="13.8" thickBot="1">
      <c r="A43" s="896"/>
      <c r="B43" s="897" t="s">
        <v>3</v>
      </c>
      <c r="C43" s="3053"/>
      <c r="D43" s="899" t="s">
        <v>4</v>
      </c>
      <c r="E43" s="898"/>
      <c r="F43" s="900" t="s">
        <v>5</v>
      </c>
      <c r="G43" s="898"/>
      <c r="H43" s="901" t="s">
        <v>6</v>
      </c>
      <c r="I43" s="898"/>
      <c r="J43" s="901" t="s">
        <v>7</v>
      </c>
      <c r="K43" s="898"/>
      <c r="L43" s="901" t="s">
        <v>8</v>
      </c>
      <c r="M43" s="898"/>
      <c r="N43" s="901" t="s">
        <v>9</v>
      </c>
      <c r="O43" s="898"/>
      <c r="P43" s="902" t="s">
        <v>10</v>
      </c>
      <c r="Q43" s="898"/>
      <c r="R43" s="903" t="s">
        <v>11</v>
      </c>
      <c r="S43" s="898"/>
      <c r="T43" s="904" t="s">
        <v>63</v>
      </c>
      <c r="U43" s="905"/>
      <c r="V43" s="906" t="s">
        <v>76</v>
      </c>
      <c r="W43" s="905"/>
      <c r="X43" s="907" t="s">
        <v>77</v>
      </c>
    </row>
    <row r="44" spans="1:27" s="860" customFormat="1">
      <c r="A44" s="908" t="s">
        <v>81</v>
      </c>
      <c r="B44" s="115"/>
      <c r="C44" s="3073"/>
      <c r="D44" s="116"/>
      <c r="E44" s="883"/>
      <c r="F44" s="116"/>
      <c r="G44" s="883"/>
      <c r="H44" s="117"/>
      <c r="I44" s="883"/>
      <c r="J44" s="117"/>
      <c r="K44" s="883"/>
      <c r="L44" s="117"/>
      <c r="M44" s="883"/>
      <c r="N44" s="117"/>
      <c r="O44" s="883"/>
      <c r="P44" s="118"/>
      <c r="Q44" s="883"/>
      <c r="R44" s="119"/>
      <c r="S44" s="883"/>
      <c r="T44" s="120"/>
      <c r="U44" s="883"/>
      <c r="V44" s="117"/>
      <c r="W44" s="883"/>
      <c r="X44" s="121"/>
    </row>
    <row r="45" spans="1:27" s="860" customFormat="1">
      <c r="A45" s="863" t="s">
        <v>19</v>
      </c>
      <c r="B45" s="875">
        <f>SUM(B46:B48)</f>
        <v>91639</v>
      </c>
      <c r="C45" s="3065"/>
      <c r="D45" s="877">
        <f>SUM(D46:D48)</f>
        <v>91292</v>
      </c>
      <c r="E45" s="876"/>
      <c r="F45" s="877">
        <f>SUM(F46:F48)</f>
        <v>93546</v>
      </c>
      <c r="G45" s="876"/>
      <c r="H45" s="877">
        <f>SUM(H46:H48)</f>
        <v>97755</v>
      </c>
      <c r="I45" s="876"/>
      <c r="J45" s="877">
        <f>SUM(J46:J48)</f>
        <v>99361</v>
      </c>
      <c r="K45" s="876"/>
      <c r="L45" s="877">
        <f>SUM(L46:L48)</f>
        <v>98192</v>
      </c>
      <c r="M45" s="876"/>
      <c r="N45" s="877">
        <f>SUM(N46:N48)</f>
        <v>98598</v>
      </c>
      <c r="O45" s="876"/>
      <c r="P45" s="877">
        <f>SUM(P46:P48)</f>
        <v>98710</v>
      </c>
      <c r="Q45" s="876"/>
      <c r="R45" s="122">
        <f>SUM(R46:R48)</f>
        <v>98710</v>
      </c>
      <c r="S45" s="876"/>
      <c r="T45" s="3188">
        <f>(((N45/B45)^(1/6)-1))</f>
        <v>1.227371671936961E-2</v>
      </c>
      <c r="U45" s="25"/>
      <c r="V45" s="3189">
        <f>(P45-N45)/N45</f>
        <v>1.1359256780056391E-3</v>
      </c>
      <c r="W45" s="25"/>
      <c r="X45" s="3190">
        <f>(R45-P45)/P45</f>
        <v>0</v>
      </c>
    </row>
    <row r="46" spans="1:27" s="860" customFormat="1">
      <c r="A46" s="863" t="s">
        <v>20</v>
      </c>
      <c r="B46" s="909">
        <f>B82+B118+B154+B190+B226+B262+B298+B334</f>
        <v>74800</v>
      </c>
      <c r="C46" s="1902"/>
      <c r="D46" s="911">
        <f>D82+D118+D154+D190+D226+D262+D298+D334</f>
        <v>73845</v>
      </c>
      <c r="E46" s="910"/>
      <c r="F46" s="911">
        <f>F82+F118+F154+F190+F226+F262+F298+F334</f>
        <v>75169</v>
      </c>
      <c r="G46" s="910"/>
      <c r="H46" s="911">
        <f>H82+H118+H154+H190+H226+H262+H298+H334</f>
        <v>78796</v>
      </c>
      <c r="I46" s="910"/>
      <c r="J46" s="911">
        <f>J82+J118+J154+J190+J226+J262+J298+J334</f>
        <v>80333</v>
      </c>
      <c r="K46" s="912"/>
      <c r="L46" s="911">
        <f>L82+L118+L154+L190+L226+L262+L298+L334</f>
        <v>79501</v>
      </c>
      <c r="M46" s="910"/>
      <c r="N46" s="911">
        <f>N82+N118+N154+N190+N226+N262+N298+N334</f>
        <v>79735</v>
      </c>
      <c r="O46" s="910"/>
      <c r="P46" s="911">
        <f>P82+P118+P154+P190+P226+P262+P298+P334</f>
        <v>79775</v>
      </c>
      <c r="Q46" s="910"/>
      <c r="R46" s="913">
        <f>R82+R118+R154+R190+R226+R262+R298+R334</f>
        <v>79775</v>
      </c>
      <c r="S46" s="879"/>
      <c r="T46" s="3191">
        <f t="shared" ref="T46:T49" si="161">(((N46/B46)^(1/6)-1))</f>
        <v>1.070535514557891E-2</v>
      </c>
      <c r="U46" s="77"/>
      <c r="V46" s="78">
        <f t="shared" ref="V46:V57" si="162">(P46-N46)/N46</f>
        <v>5.016617545619866E-4</v>
      </c>
      <c r="W46" s="77"/>
      <c r="X46" s="3192">
        <f t="shared" ref="X46:X57" si="163">(R46-P46)/P46</f>
        <v>0</v>
      </c>
    </row>
    <row r="47" spans="1:27" s="860" customFormat="1">
      <c r="A47" s="863" t="s">
        <v>17</v>
      </c>
      <c r="B47" s="909">
        <f t="shared" ref="B47:D50" si="164">B83+B119+B155+B191+B227+B263+B299+B335</f>
        <v>14937</v>
      </c>
      <c r="C47" s="1902"/>
      <c r="D47" s="911">
        <f t="shared" si="164"/>
        <v>15424</v>
      </c>
      <c r="E47" s="910"/>
      <c r="F47" s="911">
        <f t="shared" ref="F47" si="165">F83+F119+F155+F191+F227+F263+F299+F335</f>
        <v>16220</v>
      </c>
      <c r="G47" s="910"/>
      <c r="H47" s="911">
        <f t="shared" ref="H47" si="166">H83+H119+H155+H191+H227+H263+H299+H335</f>
        <v>16485</v>
      </c>
      <c r="I47" s="910"/>
      <c r="J47" s="911">
        <f t="shared" ref="J47" si="167">J83+J119+J155+J191+J227+J263+J299+J335</f>
        <v>16336</v>
      </c>
      <c r="K47" s="912"/>
      <c r="L47" s="911">
        <f t="shared" ref="L47" si="168">L83+L119+L155+L191+L227+L263+L299+L335</f>
        <v>16061</v>
      </c>
      <c r="M47" s="910"/>
      <c r="N47" s="911">
        <f t="shared" ref="N47" si="169">N83+N119+N155+N191+N227+N263+N299+N335</f>
        <v>16146</v>
      </c>
      <c r="O47" s="910"/>
      <c r="P47" s="911">
        <f t="shared" ref="P47" si="170">P83+P119+P155+P191+P227+P263+P299+P335</f>
        <v>16160</v>
      </c>
      <c r="Q47" s="910"/>
      <c r="R47" s="913">
        <f t="shared" ref="R47" si="171">R83+R119+R155+R191+R227+R263+R299+R335</f>
        <v>16160</v>
      </c>
      <c r="S47" s="879"/>
      <c r="T47" s="3191">
        <f t="shared" si="161"/>
        <v>1.3056329945276612E-2</v>
      </c>
      <c r="U47" s="77"/>
      <c r="V47" s="78">
        <f t="shared" si="162"/>
        <v>8.6708782360956271E-4</v>
      </c>
      <c r="W47" s="77"/>
      <c r="X47" s="3192">
        <f t="shared" si="163"/>
        <v>0</v>
      </c>
    </row>
    <row r="48" spans="1:27" s="860" customFormat="1">
      <c r="A48" s="863" t="s">
        <v>154</v>
      </c>
      <c r="B48" s="909">
        <f t="shared" si="164"/>
        <v>1902</v>
      </c>
      <c r="C48" s="1902"/>
      <c r="D48" s="911">
        <f t="shared" si="164"/>
        <v>2023</v>
      </c>
      <c r="E48" s="910"/>
      <c r="F48" s="911">
        <f t="shared" ref="F48" si="172">F84+F120+F156+F192+F228+F264+F300+F336</f>
        <v>2157</v>
      </c>
      <c r="G48" s="910"/>
      <c r="H48" s="911">
        <f t="shared" ref="H48" si="173">H84+H120+H156+H192+H228+H264+H300+H336</f>
        <v>2474</v>
      </c>
      <c r="I48" s="910"/>
      <c r="J48" s="911">
        <f t="shared" ref="J48" si="174">J84+J120+J156+J192+J228+J264+J300+J336</f>
        <v>2692</v>
      </c>
      <c r="K48" s="912"/>
      <c r="L48" s="911">
        <f t="shared" ref="L48" si="175">L84+L120+L156+L192+L228+L264+L300+L336</f>
        <v>2630</v>
      </c>
      <c r="M48" s="910"/>
      <c r="N48" s="911">
        <f t="shared" ref="N48" si="176">N84+N120+N156+N192+N228+N264+N300+N336</f>
        <v>2717</v>
      </c>
      <c r="O48" s="910"/>
      <c r="P48" s="911">
        <f t="shared" ref="P48" si="177">P84+P120+P156+P192+P228+P264+P300+P336</f>
        <v>2775</v>
      </c>
      <c r="Q48" s="910"/>
      <c r="R48" s="913">
        <f t="shared" ref="R48" si="178">R84+R120+R156+R192+R228+R264+R300+R336</f>
        <v>2775</v>
      </c>
      <c r="S48" s="879"/>
      <c r="T48" s="3191">
        <f t="shared" si="161"/>
        <v>6.1238965615065144E-2</v>
      </c>
      <c r="U48" s="77"/>
      <c r="V48" s="78">
        <f t="shared" si="162"/>
        <v>2.1347073978652927E-2</v>
      </c>
      <c r="W48" s="77"/>
      <c r="X48" s="3192">
        <f t="shared" si="163"/>
        <v>0</v>
      </c>
    </row>
    <row r="49" spans="1:24" s="860" customFormat="1">
      <c r="A49" s="863" t="s">
        <v>21</v>
      </c>
      <c r="B49" s="875">
        <f>SUM(B50:B52)</f>
        <v>23722</v>
      </c>
      <c r="C49" s="3065"/>
      <c r="D49" s="877">
        <f>SUM(D50:D52)</f>
        <v>23684</v>
      </c>
      <c r="E49" s="876"/>
      <c r="F49" s="877">
        <f>SUM(F50:F52)</f>
        <v>23841</v>
      </c>
      <c r="G49" s="876"/>
      <c r="H49" s="877">
        <f>SUM(H50:H52)</f>
        <v>24082</v>
      </c>
      <c r="I49" s="876"/>
      <c r="J49" s="877">
        <f>SUM(J50:J52)</f>
        <v>22676</v>
      </c>
      <c r="K49" s="876"/>
      <c r="L49" s="877">
        <f>SUM(L50:L52)</f>
        <v>21787</v>
      </c>
      <c r="M49" s="876"/>
      <c r="N49" s="877">
        <f>SUM(N50:N52)</f>
        <v>22007</v>
      </c>
      <c r="O49" s="876"/>
      <c r="P49" s="877">
        <f>SUM(P50:P52)</f>
        <v>22271</v>
      </c>
      <c r="Q49" s="876"/>
      <c r="R49" s="122">
        <f>SUM(R50:R52)</f>
        <v>22271</v>
      </c>
      <c r="S49" s="879"/>
      <c r="T49" s="3197">
        <f t="shared" si="161"/>
        <v>-1.2429162405387162E-2</v>
      </c>
      <c r="U49" s="1480"/>
      <c r="V49" s="1479">
        <f t="shared" si="162"/>
        <v>1.1996183032671423E-2</v>
      </c>
      <c r="W49" s="1480"/>
      <c r="X49" s="3198">
        <f t="shared" si="163"/>
        <v>0</v>
      </c>
    </row>
    <row r="50" spans="1:24" s="860" customFormat="1">
      <c r="A50" s="863" t="s">
        <v>20</v>
      </c>
      <c r="B50" s="909">
        <f t="shared" si="164"/>
        <v>14489</v>
      </c>
      <c r="C50" s="1902"/>
      <c r="D50" s="911">
        <f t="shared" ref="D50" si="179">D86+D122+D158+D194+D230+D266+D302+D338</f>
        <v>14228</v>
      </c>
      <c r="E50" s="910"/>
      <c r="F50" s="911">
        <f t="shared" ref="F50" si="180">F86+F122+F158+F194+F230+F266+F302+F338</f>
        <v>13915</v>
      </c>
      <c r="G50" s="910"/>
      <c r="H50" s="911">
        <f t="shared" ref="H50" si="181">H86+H122+H158+H194+H230+H266+H302+H338</f>
        <v>13457</v>
      </c>
      <c r="I50" s="910"/>
      <c r="J50" s="911">
        <f t="shared" ref="J50" si="182">J86+J122+J158+J194+J230+J266+J302+J338</f>
        <v>12412</v>
      </c>
      <c r="K50" s="912"/>
      <c r="L50" s="911">
        <f t="shared" ref="L50" si="183">L86+L122+L158+L194+L230+L266+L302+L338</f>
        <v>11458</v>
      </c>
      <c r="M50" s="910"/>
      <c r="N50" s="911">
        <f t="shared" ref="N50" si="184">N86+N122+N158+N194+N230+N266+N302+N338</f>
        <v>11667</v>
      </c>
      <c r="O50" s="910"/>
      <c r="P50" s="914">
        <f t="shared" ref="P50" si="185">P86+P122+P158+P194+P230+P266+P302+P338</f>
        <v>11830</v>
      </c>
      <c r="Q50" s="910"/>
      <c r="R50" s="913">
        <f t="shared" ref="R50" si="186">R86+R122+R158+R194+R230+R266+R302+R338</f>
        <v>11830</v>
      </c>
      <c r="S50" s="879"/>
      <c r="T50" s="3191">
        <f>(((N50/B50)^(1/6)-1))</f>
        <v>-3.5460248467333089E-2</v>
      </c>
      <c r="U50" s="77"/>
      <c r="V50" s="78">
        <f t="shared" si="162"/>
        <v>1.3971029399160024E-2</v>
      </c>
      <c r="W50" s="77"/>
      <c r="X50" s="3192">
        <f t="shared" si="163"/>
        <v>0</v>
      </c>
    </row>
    <row r="51" spans="1:24" s="860" customFormat="1">
      <c r="A51" s="863" t="s">
        <v>17</v>
      </c>
      <c r="B51" s="909">
        <f t="shared" ref="B51:D51" si="187">B87+B123+B159+B195+B231+B267+B303+B339</f>
        <v>8632</v>
      </c>
      <c r="C51" s="1902"/>
      <c r="D51" s="911">
        <f t="shared" si="187"/>
        <v>8813</v>
      </c>
      <c r="E51" s="910"/>
      <c r="F51" s="911">
        <f t="shared" ref="F51" si="188">F87+F123+F159+F195+F231+F267+F303+F339</f>
        <v>9208</v>
      </c>
      <c r="G51" s="910"/>
      <c r="H51" s="911">
        <f t="shared" ref="H51" si="189">H87+H123+H159+H195+H231+H267+H303+H339</f>
        <v>9865</v>
      </c>
      <c r="I51" s="910"/>
      <c r="J51" s="911">
        <f t="shared" ref="J51" si="190">J87+J123+J159+J195+J231+J267+J303+J339</f>
        <v>9561</v>
      </c>
      <c r="K51" s="912"/>
      <c r="L51" s="911">
        <f t="shared" ref="L51" si="191">L87+L123+L159+L195+L231+L267+L303+L339</f>
        <v>9629</v>
      </c>
      <c r="M51" s="910"/>
      <c r="N51" s="911">
        <f t="shared" ref="N51" si="192">N87+N123+N159+N195+N231+N267+N303+N339</f>
        <v>9639</v>
      </c>
      <c r="O51" s="910"/>
      <c r="P51" s="914">
        <f t="shared" ref="P51" si="193">P87+P123+P159+P195+P231+P267+P303+P339</f>
        <v>9738</v>
      </c>
      <c r="Q51" s="910"/>
      <c r="R51" s="913">
        <f t="shared" ref="R51" si="194">R87+R123+R159+R195+R231+R267+R303+R339</f>
        <v>9738</v>
      </c>
      <c r="S51" s="879"/>
      <c r="T51" s="3191">
        <f t="shared" ref="T51:T55" si="195">(((N51/B51)^(1/6)-1))</f>
        <v>1.8560331062008384E-2</v>
      </c>
      <c r="U51" s="77"/>
      <c r="V51" s="78">
        <f t="shared" si="162"/>
        <v>1.027077497665733E-2</v>
      </c>
      <c r="W51" s="77"/>
      <c r="X51" s="3192">
        <f t="shared" si="163"/>
        <v>0</v>
      </c>
    </row>
    <row r="52" spans="1:24" s="860" customFormat="1">
      <c r="A52" s="863" t="s">
        <v>154</v>
      </c>
      <c r="B52" s="909">
        <f t="shared" ref="B52:D54" si="196">B88+B124+B160+B196+B232+B268+B304+B340</f>
        <v>601</v>
      </c>
      <c r="C52" s="1902"/>
      <c r="D52" s="911">
        <f t="shared" si="196"/>
        <v>643</v>
      </c>
      <c r="E52" s="910"/>
      <c r="F52" s="911">
        <f t="shared" ref="F52" si="197">F88+F124+F160+F196+F232+F268+F304+F340</f>
        <v>718</v>
      </c>
      <c r="G52" s="910"/>
      <c r="H52" s="911">
        <f t="shared" ref="H52" si="198">H88+H124+H160+H196+H232+H268+H304+H340</f>
        <v>760</v>
      </c>
      <c r="I52" s="910"/>
      <c r="J52" s="911">
        <f t="shared" ref="J52" si="199">J88+J124+J160+J196+J232+J268+J304+J340</f>
        <v>703</v>
      </c>
      <c r="K52" s="912"/>
      <c r="L52" s="911">
        <f t="shared" ref="L52" si="200">L88+L124+L160+L196+L232+L268+L304+L340</f>
        <v>700</v>
      </c>
      <c r="M52" s="910"/>
      <c r="N52" s="911">
        <f t="shared" ref="N52" si="201">N88+N124+N160+N196+N232+N268+N304+N340</f>
        <v>701</v>
      </c>
      <c r="O52" s="910"/>
      <c r="P52" s="914">
        <f t="shared" ref="P52" si="202">P88+P124+P160+P196+P232+P268+P304+P340</f>
        <v>703</v>
      </c>
      <c r="Q52" s="910"/>
      <c r="R52" s="913">
        <f t="shared" ref="R52" si="203">R88+R124+R160+R196+R232+R268+R304+R340</f>
        <v>703</v>
      </c>
      <c r="S52" s="879"/>
      <c r="T52" s="3191">
        <f t="shared" si="195"/>
        <v>2.5984006838004614E-2</v>
      </c>
      <c r="U52" s="77"/>
      <c r="V52" s="78">
        <f t="shared" si="162"/>
        <v>2.8530670470756064E-3</v>
      </c>
      <c r="W52" s="77"/>
      <c r="X52" s="3192">
        <f t="shared" si="163"/>
        <v>0</v>
      </c>
    </row>
    <row r="53" spans="1:24" s="860" customFormat="1">
      <c r="A53" s="915" t="s">
        <v>22</v>
      </c>
      <c r="B53" s="875">
        <f>SUM(B54:B56)</f>
        <v>3670</v>
      </c>
      <c r="C53" s="3065"/>
      <c r="D53" s="877">
        <f>SUM(D54:D56)</f>
        <v>3677</v>
      </c>
      <c r="E53" s="876"/>
      <c r="F53" s="877">
        <f>SUM(F54:F56)</f>
        <v>3762</v>
      </c>
      <c r="G53" s="876"/>
      <c r="H53" s="877">
        <f>SUM(H54:H56)</f>
        <v>3767</v>
      </c>
      <c r="I53" s="876"/>
      <c r="J53" s="877">
        <f>SUM(J54:J56)</f>
        <v>3819</v>
      </c>
      <c r="K53" s="876"/>
      <c r="L53" s="877">
        <f>SUM(L54:L56)</f>
        <v>3904</v>
      </c>
      <c r="M53" s="876"/>
      <c r="N53" s="877">
        <f>SUM(N54:N56)</f>
        <v>3954</v>
      </c>
      <c r="O53" s="876"/>
      <c r="P53" s="877">
        <f>SUM(P54:P56)</f>
        <v>3977</v>
      </c>
      <c r="Q53" s="876"/>
      <c r="R53" s="122">
        <f>SUM(R54:R56)</f>
        <v>3977</v>
      </c>
      <c r="S53" s="879"/>
      <c r="T53" s="3197">
        <f t="shared" si="195"/>
        <v>1.2500159079051887E-2</v>
      </c>
      <c r="U53" s="1480"/>
      <c r="V53" s="1479">
        <f t="shared" si="162"/>
        <v>5.8168942842690948E-3</v>
      </c>
      <c r="W53" s="1480"/>
      <c r="X53" s="3198">
        <f t="shared" si="163"/>
        <v>0</v>
      </c>
    </row>
    <row r="54" spans="1:24" s="860" customFormat="1">
      <c r="A54" s="863" t="s">
        <v>20</v>
      </c>
      <c r="B54" s="916">
        <f t="shared" si="196"/>
        <v>2675</v>
      </c>
      <c r="C54" s="1902"/>
      <c r="D54" s="917">
        <f t="shared" ref="D54" si="204">D90+D126+D162+D198+D234+D270+D306+D342</f>
        <v>2606</v>
      </c>
      <c r="E54" s="910"/>
      <c r="F54" s="917">
        <f t="shared" ref="F54" si="205">F90+F126+F162+F198+F234+F270+F306+F342</f>
        <v>2652</v>
      </c>
      <c r="G54" s="910"/>
      <c r="H54" s="917">
        <f t="shared" ref="H54" si="206">H90+H126+H162+H198+H234+H270+H306+H342</f>
        <v>2675</v>
      </c>
      <c r="I54" s="910"/>
      <c r="J54" s="917">
        <f t="shared" ref="J54" si="207">J90+J126+J162+J198+J234+J270+J306+J342</f>
        <v>2735</v>
      </c>
      <c r="K54" s="912"/>
      <c r="L54" s="917">
        <f t="shared" ref="L54" si="208">L90+L126+L162+L198+L234+L270+L306+L342</f>
        <v>2781</v>
      </c>
      <c r="M54" s="910"/>
      <c r="N54" s="911">
        <f t="shared" ref="N54" si="209">N90+N126+N162+N198+N234+N270+N306+N342</f>
        <v>2809</v>
      </c>
      <c r="O54" s="910"/>
      <c r="P54" s="914">
        <f t="shared" ref="P54" si="210">P90+P126+P162+P198+P234+P270+P306+P342</f>
        <v>2820</v>
      </c>
      <c r="Q54" s="910"/>
      <c r="R54" s="913">
        <f t="shared" ref="R54" si="211">R90+R126+R162+R198+R234+R270+R306+R342</f>
        <v>2820</v>
      </c>
      <c r="S54" s="879"/>
      <c r="T54" s="3191">
        <f t="shared" si="195"/>
        <v>8.1798012137286324E-3</v>
      </c>
      <c r="U54" s="77"/>
      <c r="V54" s="78">
        <f t="shared" si="162"/>
        <v>3.915984336062656E-3</v>
      </c>
      <c r="W54" s="77"/>
      <c r="X54" s="3192">
        <f t="shared" si="163"/>
        <v>0</v>
      </c>
    </row>
    <row r="55" spans="1:24" s="860" customFormat="1">
      <c r="A55" s="863" t="s">
        <v>17</v>
      </c>
      <c r="B55" s="916">
        <f t="shared" ref="B55:D55" si="212">B91+B127+B163+B199+B235+B271+B307+B343</f>
        <v>995</v>
      </c>
      <c r="C55" s="1902"/>
      <c r="D55" s="917">
        <f t="shared" si="212"/>
        <v>1071</v>
      </c>
      <c r="E55" s="910"/>
      <c r="F55" s="917">
        <f t="shared" ref="F55" si="213">F91+F127+F163+F199+F235+F271+F307+F343</f>
        <v>1110</v>
      </c>
      <c r="G55" s="910"/>
      <c r="H55" s="917">
        <f t="shared" ref="H55" si="214">H91+H127+H163+H199+H235+H271+H307+H343</f>
        <v>1092</v>
      </c>
      <c r="I55" s="910"/>
      <c r="J55" s="917">
        <f t="shared" ref="J55" si="215">J91+J127+J163+J199+J235+J271+J307+J343</f>
        <v>1084</v>
      </c>
      <c r="K55" s="912"/>
      <c r="L55" s="917">
        <f t="shared" ref="L55" si="216">L91+L127+L163+L199+L235+L271+L307+L343</f>
        <v>1123</v>
      </c>
      <c r="M55" s="910"/>
      <c r="N55" s="911">
        <f t="shared" ref="N55" si="217">N91+N127+N163+N199+N235+N271+N307+N343</f>
        <v>1145</v>
      </c>
      <c r="O55" s="910"/>
      <c r="P55" s="914">
        <f t="shared" ref="P55" si="218">P91+P127+P163+P199+P235+P271+P307+P343</f>
        <v>1157</v>
      </c>
      <c r="Q55" s="910"/>
      <c r="R55" s="913">
        <f t="shared" ref="R55" si="219">R91+R127+R163+R199+R235+R271+R307+R343</f>
        <v>1157</v>
      </c>
      <c r="S55" s="879"/>
      <c r="T55" s="3191">
        <f t="shared" si="195"/>
        <v>2.3678858965218597E-2</v>
      </c>
      <c r="U55" s="77"/>
      <c r="V55" s="78">
        <f t="shared" si="162"/>
        <v>1.0480349344978166E-2</v>
      </c>
      <c r="W55" s="77"/>
      <c r="X55" s="3192">
        <f t="shared" si="163"/>
        <v>0</v>
      </c>
    </row>
    <row r="56" spans="1:24" s="860" customFormat="1" ht="13.8" thickBot="1">
      <c r="A56" s="102" t="s">
        <v>154</v>
      </c>
      <c r="B56" s="918">
        <f t="shared" ref="B56:D56" si="220">B92+B128+B164+B200+B236+B272+B308+B344</f>
        <v>0</v>
      </c>
      <c r="C56" s="1909"/>
      <c r="D56" s="920">
        <f t="shared" si="220"/>
        <v>0</v>
      </c>
      <c r="E56" s="919"/>
      <c r="F56" s="920">
        <f t="shared" ref="F56" si="221">F92+F128+F164+F200+F236+F272+F308+F344</f>
        <v>0</v>
      </c>
      <c r="G56" s="919"/>
      <c r="H56" s="920">
        <f t="shared" ref="H56" si="222">H92+H128+H164+H200+H236+H272+H308+H344</f>
        <v>0</v>
      </c>
      <c r="I56" s="919"/>
      <c r="J56" s="920">
        <f t="shared" ref="J56" si="223">J92+J128+J164+J200+J236+J272+J308+J344</f>
        <v>0</v>
      </c>
      <c r="K56" s="921"/>
      <c r="L56" s="920">
        <f t="shared" ref="L56" si="224">L92+L128+L164+L200+L236+L272+L308+L344</f>
        <v>0</v>
      </c>
      <c r="M56" s="919"/>
      <c r="N56" s="922">
        <f t="shared" ref="N56" si="225">N92+N128+N164+N200+N236+N272+N308+N344</f>
        <v>0</v>
      </c>
      <c r="O56" s="919"/>
      <c r="P56" s="923">
        <f t="shared" ref="P56" si="226">P92+P128+P164+P200+P236+P272+P308+P344</f>
        <v>0</v>
      </c>
      <c r="Q56" s="919"/>
      <c r="R56" s="924">
        <f t="shared" ref="R56" si="227">R92+R128+R164+R200+R236+R272+R308+R344</f>
        <v>0</v>
      </c>
      <c r="S56" s="881"/>
      <c r="T56" s="3193"/>
      <c r="U56" s="3194"/>
      <c r="V56" s="3195"/>
      <c r="W56" s="3194"/>
      <c r="X56" s="3196"/>
    </row>
    <row r="57" spans="1:24" s="860" customFormat="1" ht="13.8" thickTop="1">
      <c r="A57" s="926" t="s">
        <v>23</v>
      </c>
      <c r="B57" s="123">
        <f>B45+B49+B53</f>
        <v>119031</v>
      </c>
      <c r="C57" s="124"/>
      <c r="D57" s="884">
        <f>D45+D49+D53</f>
        <v>118653</v>
      </c>
      <c r="E57" s="124"/>
      <c r="F57" s="884">
        <f>F45+F49+F53</f>
        <v>121149</v>
      </c>
      <c r="G57" s="124"/>
      <c r="H57" s="884">
        <f>H45+H49+H53</f>
        <v>125604</v>
      </c>
      <c r="I57" s="124"/>
      <c r="J57" s="884">
        <f>J45+J49+J53</f>
        <v>125856</v>
      </c>
      <c r="K57" s="124"/>
      <c r="L57" s="884">
        <f>L45+L49+L53</f>
        <v>123883</v>
      </c>
      <c r="M57" s="124"/>
      <c r="N57" s="884">
        <f>N45+N49+N53</f>
        <v>124559</v>
      </c>
      <c r="O57" s="124"/>
      <c r="P57" s="877">
        <f>P45+P49+P53</f>
        <v>124958</v>
      </c>
      <c r="Q57" s="124"/>
      <c r="R57" s="122">
        <f>R45+R49+R53</f>
        <v>124958</v>
      </c>
      <c r="S57" s="124"/>
      <c r="T57" s="3197">
        <f t="shared" ref="T57" si="228">(((N57/B57)^(1/6)-1))</f>
        <v>7.594616553389999E-3</v>
      </c>
      <c r="U57" s="1480"/>
      <c r="V57" s="1479">
        <f t="shared" si="162"/>
        <v>3.203301246798706E-3</v>
      </c>
      <c r="W57" s="1480"/>
      <c r="X57" s="3198">
        <f t="shared" si="163"/>
        <v>0</v>
      </c>
    </row>
    <row r="58" spans="1:24" s="860" customFormat="1" ht="8.25" customHeight="1" thickBot="1">
      <c r="A58" s="925"/>
      <c r="B58" s="126"/>
      <c r="C58" s="3068"/>
      <c r="D58" s="879"/>
      <c r="E58" s="879"/>
      <c r="F58" s="879"/>
      <c r="G58" s="879"/>
      <c r="H58" s="879"/>
      <c r="I58" s="879"/>
      <c r="J58" s="879"/>
      <c r="K58" s="879"/>
      <c r="L58" s="879"/>
      <c r="M58" s="879"/>
      <c r="N58" s="879"/>
      <c r="O58" s="879"/>
      <c r="P58" s="876"/>
      <c r="Q58" s="879"/>
      <c r="R58" s="127"/>
      <c r="S58" s="879"/>
      <c r="T58" s="84"/>
      <c r="U58" s="34"/>
      <c r="V58" s="34"/>
      <c r="W58" s="34"/>
      <c r="X58" s="42"/>
    </row>
    <row r="59" spans="1:24" s="860" customFormat="1">
      <c r="A59" s="908" t="s">
        <v>24</v>
      </c>
      <c r="B59" s="115"/>
      <c r="C59" s="3073"/>
      <c r="D59" s="116"/>
      <c r="E59" s="883"/>
      <c r="F59" s="116"/>
      <c r="G59" s="883"/>
      <c r="H59" s="117"/>
      <c r="I59" s="883"/>
      <c r="J59" s="117"/>
      <c r="K59" s="883"/>
      <c r="L59" s="117"/>
      <c r="M59" s="883"/>
      <c r="N59" s="117"/>
      <c r="O59" s="883"/>
      <c r="P59" s="118"/>
      <c r="Q59" s="883"/>
      <c r="R59" s="119"/>
      <c r="S59" s="883"/>
      <c r="T59" s="86"/>
      <c r="U59" s="45"/>
      <c r="V59" s="47"/>
      <c r="W59" s="45"/>
      <c r="X59" s="85"/>
    </row>
    <row r="60" spans="1:24" s="860" customFormat="1">
      <c r="A60" s="863" t="s">
        <v>19</v>
      </c>
      <c r="B60" s="875">
        <f>SUM(B61:B63)</f>
        <v>62306.38</v>
      </c>
      <c r="C60" s="3065"/>
      <c r="D60" s="877">
        <f>SUM(D61:D63)</f>
        <v>63103.67</v>
      </c>
      <c r="E60" s="876"/>
      <c r="F60" s="877">
        <f>SUM(F61:F63)</f>
        <v>65757.72</v>
      </c>
      <c r="G60" s="876"/>
      <c r="H60" s="877">
        <f>SUM(H61:H63)</f>
        <v>69424.36</v>
      </c>
      <c r="I60" s="876"/>
      <c r="J60" s="877">
        <f>SUM(J61:J63)</f>
        <v>70596.710000000006</v>
      </c>
      <c r="K60" s="876"/>
      <c r="L60" s="877">
        <f>SUM(L61:L63)</f>
        <v>70788.56</v>
      </c>
      <c r="M60" s="876"/>
      <c r="N60" s="877">
        <f>SUM(N61:N63)</f>
        <v>71025</v>
      </c>
      <c r="O60" s="876"/>
      <c r="P60" s="877">
        <f>SUM(P61:P63)</f>
        <v>71101</v>
      </c>
      <c r="Q60" s="876"/>
      <c r="R60" s="122">
        <f>SUM(R61:R63)</f>
        <v>71101</v>
      </c>
      <c r="S60" s="876"/>
      <c r="T60" s="3188">
        <f>(((N60/B60)^(1/6)-1))</f>
        <v>2.2067990606496668E-2</v>
      </c>
      <c r="U60" s="25"/>
      <c r="V60" s="3189">
        <f>(P60-N60)/N60</f>
        <v>1.0700457585357268E-3</v>
      </c>
      <c r="W60" s="25"/>
      <c r="X60" s="3190">
        <f>(R60-P60)/P60</f>
        <v>0</v>
      </c>
    </row>
    <row r="61" spans="1:24" s="860" customFormat="1">
      <c r="A61" s="863" t="s">
        <v>20</v>
      </c>
      <c r="B61" s="916">
        <f>B97+B133+B169+B205+B241+B277+B313+B349</f>
        <v>49718.46</v>
      </c>
      <c r="C61" s="3068"/>
      <c r="D61" s="880">
        <f>D97+D133+D169+D205+D241+D277+D313+D349</f>
        <v>49617.35</v>
      </c>
      <c r="E61" s="879"/>
      <c r="F61" s="880">
        <f>F97+F133+F169+F205+F241+F277+F313+F349</f>
        <v>51216.92</v>
      </c>
      <c r="G61" s="879"/>
      <c r="H61" s="880">
        <f>H97+H133+H169+H205+H241+H277+H313+H349</f>
        <v>54298.990000000005</v>
      </c>
      <c r="I61" s="879"/>
      <c r="J61" s="880">
        <f>J97+J133+J169+J205+J241+J277+J313+J349</f>
        <v>55598.850000000006</v>
      </c>
      <c r="K61" s="879"/>
      <c r="L61" s="880">
        <f>L97+L133+L169+L205+L241+L277+L313+L349</f>
        <v>55818.75</v>
      </c>
      <c r="M61" s="879"/>
      <c r="N61" s="880">
        <f>N97+N133+N169+N205+N241+N277+N313+N349</f>
        <v>55963</v>
      </c>
      <c r="O61" s="879"/>
      <c r="P61" s="168">
        <f>P97+P133+P169+P205+P241+P277+P313+P349</f>
        <v>55993</v>
      </c>
      <c r="Q61" s="879"/>
      <c r="R61" s="169">
        <f>R97+R133+R169+R205+R241+R277+R313+R349</f>
        <v>55993</v>
      </c>
      <c r="S61" s="879"/>
      <c r="T61" s="3191">
        <f t="shared" ref="T61:T64" si="229">(((N61/B61)^(1/6)-1))</f>
        <v>1.9914782830793065E-2</v>
      </c>
      <c r="U61" s="77"/>
      <c r="V61" s="78">
        <f t="shared" ref="V61:V70" si="230">(P61-N61)/N61</f>
        <v>5.3606847381305509E-4</v>
      </c>
      <c r="W61" s="77"/>
      <c r="X61" s="3192">
        <f t="shared" ref="X61:X70" si="231">(R61-P61)/P61</f>
        <v>0</v>
      </c>
    </row>
    <row r="62" spans="1:24" s="860" customFormat="1">
      <c r="A62" s="863" t="s">
        <v>17</v>
      </c>
      <c r="B62" s="916">
        <f t="shared" ref="B62:D65" si="232">B98+B134+B170+B206+B242+B278+B314+B350</f>
        <v>11449.720000000001</v>
      </c>
      <c r="C62" s="3068"/>
      <c r="D62" s="880">
        <f t="shared" si="232"/>
        <v>12327.42</v>
      </c>
      <c r="E62" s="879"/>
      <c r="F62" s="880">
        <f t="shared" ref="F62" si="233">F98+F134+F170+F206+F242+F278+F314+F350</f>
        <v>13292.4</v>
      </c>
      <c r="G62" s="879"/>
      <c r="H62" s="880">
        <f t="shared" ref="H62" si="234">H98+H134+H170+H206+H242+H278+H314+H350</f>
        <v>13621.470000000001</v>
      </c>
      <c r="I62" s="879"/>
      <c r="J62" s="880">
        <f t="shared" ref="J62" si="235">J98+J134+J170+J206+J242+J278+J314+J350</f>
        <v>13342.960000000001</v>
      </c>
      <c r="K62" s="879"/>
      <c r="L62" s="880">
        <f t="shared" ref="L62" si="236">L98+L134+L170+L206+L242+L278+L314+L350</f>
        <v>13331.83</v>
      </c>
      <c r="M62" s="879"/>
      <c r="N62" s="880">
        <f t="shared" ref="N62" si="237">N98+N134+N170+N206+N242+N278+N314+N350</f>
        <v>13370</v>
      </c>
      <c r="O62" s="879"/>
      <c r="P62" s="168">
        <f t="shared" ref="P62" si="238">P98+P134+P170+P206+P242+P278+P314+P350</f>
        <v>13380</v>
      </c>
      <c r="Q62" s="879"/>
      <c r="R62" s="169">
        <f t="shared" ref="R62" si="239">R98+R134+R170+R206+R242+R278+R314+R350</f>
        <v>13380</v>
      </c>
      <c r="S62" s="879"/>
      <c r="T62" s="3191">
        <f t="shared" si="229"/>
        <v>2.6178135059100605E-2</v>
      </c>
      <c r="U62" s="77"/>
      <c r="V62" s="78">
        <f t="shared" si="230"/>
        <v>7.4794315632011965E-4</v>
      </c>
      <c r="W62" s="77"/>
      <c r="X62" s="3192">
        <f t="shared" si="231"/>
        <v>0</v>
      </c>
    </row>
    <row r="63" spans="1:24" s="860" customFormat="1">
      <c r="A63" s="863" t="s">
        <v>154</v>
      </c>
      <c r="B63" s="916">
        <f t="shared" si="232"/>
        <v>1138.2</v>
      </c>
      <c r="C63" s="3068"/>
      <c r="D63" s="880">
        <f t="shared" si="232"/>
        <v>1158.9000000000001</v>
      </c>
      <c r="E63" s="879"/>
      <c r="F63" s="880">
        <f t="shared" ref="F63" si="240">F99+F135+F171+F207+F243+F279+F315+F351</f>
        <v>1248.4000000000001</v>
      </c>
      <c r="G63" s="879"/>
      <c r="H63" s="880">
        <f t="shared" ref="H63" si="241">H99+H135+H171+H207+H243+H279+H315+H351</f>
        <v>1503.8999999999999</v>
      </c>
      <c r="I63" s="879"/>
      <c r="J63" s="880">
        <f t="shared" ref="J63" si="242">J99+J135+J171+J207+J243+J279+J315+J351</f>
        <v>1654.9</v>
      </c>
      <c r="K63" s="879"/>
      <c r="L63" s="880">
        <f t="shared" ref="L63" si="243">L99+L135+L171+L207+L243+L279+L315+L351</f>
        <v>1637.98</v>
      </c>
      <c r="M63" s="879"/>
      <c r="N63" s="880">
        <f t="shared" ref="N63" si="244">N99+N135+N171+N207+N243+N279+N315+N351</f>
        <v>1692</v>
      </c>
      <c r="O63" s="879"/>
      <c r="P63" s="168">
        <f t="shared" ref="P63" si="245">P99+P135+P171+P207+P243+P279+P315+P351</f>
        <v>1728</v>
      </c>
      <c r="Q63" s="879"/>
      <c r="R63" s="169">
        <f t="shared" ref="R63" si="246">R99+R135+R171+R207+R243+R279+R315+R351</f>
        <v>1728</v>
      </c>
      <c r="S63" s="879"/>
      <c r="T63" s="3191">
        <f t="shared" si="229"/>
        <v>6.8309186383053166E-2</v>
      </c>
      <c r="U63" s="77"/>
      <c r="V63" s="78">
        <f t="shared" si="230"/>
        <v>2.1276595744680851E-2</v>
      </c>
      <c r="W63" s="77"/>
      <c r="X63" s="3192">
        <f t="shared" si="231"/>
        <v>0</v>
      </c>
    </row>
    <row r="64" spans="1:24" s="860" customFormat="1">
      <c r="A64" s="863" t="s">
        <v>21</v>
      </c>
      <c r="B64" s="875">
        <f>SUM(B65:B67)</f>
        <v>12015.900000000001</v>
      </c>
      <c r="C64" s="3065"/>
      <c r="D64" s="877">
        <f>SUM(D65:D67)</f>
        <v>12323.85</v>
      </c>
      <c r="E64" s="876"/>
      <c r="F64" s="877">
        <f>SUM(F65:F67)</f>
        <v>12619.56</v>
      </c>
      <c r="G64" s="876"/>
      <c r="H64" s="877">
        <f>SUM(H65:H67)</f>
        <v>12755.28</v>
      </c>
      <c r="I64" s="876"/>
      <c r="J64" s="877">
        <f>SUM(J65:J67)</f>
        <v>12745.080000000002</v>
      </c>
      <c r="K64" s="876"/>
      <c r="L64" s="877">
        <f>SUM(L65:L67)</f>
        <v>12558.19</v>
      </c>
      <c r="M64" s="876"/>
      <c r="N64" s="877">
        <f>SUM(N65:N67)</f>
        <v>12667</v>
      </c>
      <c r="O64" s="876"/>
      <c r="P64" s="877">
        <f>SUM(P65:P67)</f>
        <v>12799</v>
      </c>
      <c r="Q64" s="876"/>
      <c r="R64" s="122">
        <f>SUM(R65:R67)</f>
        <v>12799</v>
      </c>
      <c r="S64" s="879"/>
      <c r="T64" s="3197">
        <f t="shared" si="229"/>
        <v>8.8336910761874776E-3</v>
      </c>
      <c r="U64" s="1480"/>
      <c r="V64" s="1479">
        <f t="shared" si="230"/>
        <v>1.0420778400568407E-2</v>
      </c>
      <c r="W64" s="1480"/>
      <c r="X64" s="3198">
        <f t="shared" si="231"/>
        <v>0</v>
      </c>
    </row>
    <row r="65" spans="1:24" s="860" customFormat="1">
      <c r="A65" s="863" t="s">
        <v>20</v>
      </c>
      <c r="B65" s="916">
        <f t="shared" si="232"/>
        <v>6261.8600000000006</v>
      </c>
      <c r="C65" s="3068"/>
      <c r="D65" s="880">
        <f t="shared" ref="D65" si="247">D101+D137+D173+D209+D245+D281+D317+D353</f>
        <v>6346.73</v>
      </c>
      <c r="E65" s="879"/>
      <c r="F65" s="880">
        <f t="shared" ref="F65" si="248">F101+F137+F173+F209+F245+F281+F317+F353</f>
        <v>6402.82</v>
      </c>
      <c r="G65" s="879"/>
      <c r="H65" s="880">
        <f t="shared" ref="H65" si="249">H101+H137+H173+H209+H245+H281+H317+H353</f>
        <v>6420.42</v>
      </c>
      <c r="I65" s="879"/>
      <c r="J65" s="880">
        <f t="shared" ref="J65" si="250">J101+J137+J173+J209+J245+J281+J317+J353</f>
        <v>6239.88</v>
      </c>
      <c r="K65" s="879"/>
      <c r="L65" s="880">
        <f t="shared" ref="L65" si="251">L101+L137+L173+L209+L245+L281+L317+L353</f>
        <v>5951.84</v>
      </c>
      <c r="M65" s="879"/>
      <c r="N65" s="880">
        <f t="shared" ref="N65" si="252">N101+N137+N173+N209+N245+N281+N317+N353</f>
        <v>6053</v>
      </c>
      <c r="O65" s="879"/>
      <c r="P65" s="168">
        <f t="shared" ref="P65" si="253">P101+P137+P173+P209+P245+P281+P317+P353</f>
        <v>6126</v>
      </c>
      <c r="Q65" s="879"/>
      <c r="R65" s="169">
        <f t="shared" ref="R65" si="254">R101+R137+R173+R209+R245+R281+R317+R353</f>
        <v>6126</v>
      </c>
      <c r="S65" s="879"/>
      <c r="T65" s="3191">
        <f>(((N65/B65)^(1/6)-1))</f>
        <v>-5.6379217080966271E-3</v>
      </c>
      <c r="U65" s="77"/>
      <c r="V65" s="78">
        <f t="shared" si="230"/>
        <v>1.2060135470014869E-2</v>
      </c>
      <c r="W65" s="77"/>
      <c r="X65" s="3192">
        <f t="shared" si="231"/>
        <v>0</v>
      </c>
    </row>
    <row r="66" spans="1:24" s="860" customFormat="1">
      <c r="A66" s="863" t="s">
        <v>17</v>
      </c>
      <c r="B66" s="916">
        <f t="shared" ref="B66:D66" si="255">B102+B138+B174+B210+B246+B282+B318+B354</f>
        <v>5533.4400000000005</v>
      </c>
      <c r="C66" s="3068"/>
      <c r="D66" s="880">
        <f t="shared" si="255"/>
        <v>5733.5199999999995</v>
      </c>
      <c r="E66" s="879"/>
      <c r="F66" s="880">
        <f t="shared" ref="F66" si="256">F102+F138+F174+F210+F246+F282+F318+F354</f>
        <v>5939.1399999999994</v>
      </c>
      <c r="G66" s="879"/>
      <c r="H66" s="880">
        <f t="shared" ref="H66" si="257">H102+H138+H174+H210+H246+H282+H318+H354</f>
        <v>6035.3600000000006</v>
      </c>
      <c r="I66" s="879"/>
      <c r="J66" s="880">
        <f t="shared" ref="J66" si="258">J102+J138+J174+J210+J246+J282+J318+J354</f>
        <v>6238.5</v>
      </c>
      <c r="K66" s="879"/>
      <c r="L66" s="880">
        <f t="shared" ref="L66" si="259">L102+L138+L174+L210+L246+L282+L318+L354</f>
        <v>6317.58</v>
      </c>
      <c r="M66" s="879"/>
      <c r="N66" s="880">
        <f t="shared" ref="N66" si="260">N102+N138+N174+N210+N246+N282+N318+N354</f>
        <v>6325</v>
      </c>
      <c r="O66" s="879"/>
      <c r="P66" s="168">
        <f t="shared" ref="P66" si="261">P102+P138+P174+P210+P246+P282+P318+P354</f>
        <v>6383</v>
      </c>
      <c r="Q66" s="879"/>
      <c r="R66" s="169">
        <f t="shared" ref="R66" si="262">R102+R138+R174+R210+R246+R282+R318+R354</f>
        <v>6383</v>
      </c>
      <c r="S66" s="879"/>
      <c r="T66" s="3191">
        <f t="shared" ref="T66:T70" si="263">(((N66/B66)^(1/6)-1))</f>
        <v>2.2533521062600315E-2</v>
      </c>
      <c r="U66" s="77"/>
      <c r="V66" s="78">
        <f t="shared" si="230"/>
        <v>9.1699604743083005E-3</v>
      </c>
      <c r="W66" s="77"/>
      <c r="X66" s="3192">
        <f t="shared" si="231"/>
        <v>0</v>
      </c>
    </row>
    <row r="67" spans="1:24" s="860" customFormat="1">
      <c r="A67" s="863" t="s">
        <v>154</v>
      </c>
      <c r="B67" s="916">
        <f t="shared" ref="B67:D69" si="264">B103+B139+B175+B211+B247+B283+B319+B355</f>
        <v>220.6</v>
      </c>
      <c r="C67" s="3068"/>
      <c r="D67" s="880">
        <f t="shared" si="264"/>
        <v>243.6</v>
      </c>
      <c r="E67" s="879"/>
      <c r="F67" s="880">
        <f t="shared" ref="F67" si="265">F103+F139+F175+F211+F247+F283+F319+F355</f>
        <v>277.59999999999997</v>
      </c>
      <c r="G67" s="879"/>
      <c r="H67" s="880">
        <f t="shared" ref="H67" si="266">H103+H139+H175+H211+H247+H283+H319+H355</f>
        <v>299.5</v>
      </c>
      <c r="I67" s="879"/>
      <c r="J67" s="880">
        <f t="shared" ref="J67" si="267">J103+J139+J175+J211+J247+J283+J319+J355</f>
        <v>266.70000000000005</v>
      </c>
      <c r="K67" s="879"/>
      <c r="L67" s="880">
        <f t="shared" ref="L67" si="268">L103+L139+L175+L211+L247+L283+L319+L355</f>
        <v>288.77</v>
      </c>
      <c r="M67" s="879"/>
      <c r="N67" s="880">
        <f t="shared" ref="N67" si="269">N103+N139+N175+N211+N247+N283+N319+N355</f>
        <v>289</v>
      </c>
      <c r="O67" s="879"/>
      <c r="P67" s="168">
        <f t="shared" ref="P67" si="270">P103+P139+P175+P211+P247+P283+P319+P355</f>
        <v>290</v>
      </c>
      <c r="Q67" s="879"/>
      <c r="R67" s="169">
        <f t="shared" ref="R67" si="271">R103+R139+R175+R211+R247+R283+R319+R355</f>
        <v>290</v>
      </c>
      <c r="S67" s="879"/>
      <c r="T67" s="3191">
        <f t="shared" si="263"/>
        <v>4.6041036681409464E-2</v>
      </c>
      <c r="U67" s="77"/>
      <c r="V67" s="78">
        <f t="shared" si="230"/>
        <v>3.4602076124567475E-3</v>
      </c>
      <c r="W67" s="77"/>
      <c r="X67" s="3192">
        <f t="shared" si="231"/>
        <v>0</v>
      </c>
    </row>
    <row r="68" spans="1:24" s="860" customFormat="1">
      <c r="A68" s="915" t="s">
        <v>22</v>
      </c>
      <c r="B68" s="875">
        <f>SUM(B69:B71)</f>
        <v>5293.22</v>
      </c>
      <c r="C68" s="3065"/>
      <c r="D68" s="877">
        <f>SUM(D69:D71)</f>
        <v>5322.86</v>
      </c>
      <c r="E68" s="876"/>
      <c r="F68" s="877">
        <f>SUM(F69:F71)</f>
        <v>5410.9900000000007</v>
      </c>
      <c r="G68" s="876"/>
      <c r="H68" s="877">
        <f>SUM(H69:H71)</f>
        <v>5540.15</v>
      </c>
      <c r="I68" s="876"/>
      <c r="J68" s="877">
        <f>SUM(J69:J71)</f>
        <v>5633.92</v>
      </c>
      <c r="K68" s="876"/>
      <c r="L68" s="877">
        <f>SUM(L69:L71)</f>
        <v>5735.1900000000005</v>
      </c>
      <c r="M68" s="876"/>
      <c r="N68" s="877">
        <f>SUM(N69:N71)</f>
        <v>5815</v>
      </c>
      <c r="O68" s="876"/>
      <c r="P68" s="877">
        <f>SUM(P69:P71)</f>
        <v>5845</v>
      </c>
      <c r="Q68" s="876"/>
      <c r="R68" s="122">
        <f>SUM(R69:R71)</f>
        <v>5845</v>
      </c>
      <c r="S68" s="879"/>
      <c r="T68" s="3197">
        <f t="shared" si="263"/>
        <v>1.5792407485155868E-2</v>
      </c>
      <c r="U68" s="1480"/>
      <c r="V68" s="1479">
        <f t="shared" si="230"/>
        <v>5.1590713671539126E-3</v>
      </c>
      <c r="W68" s="1480"/>
      <c r="X68" s="3198">
        <f t="shared" si="231"/>
        <v>0</v>
      </c>
    </row>
    <row r="69" spans="1:24" s="860" customFormat="1">
      <c r="A69" s="863" t="s">
        <v>20</v>
      </c>
      <c r="B69" s="916">
        <f t="shared" si="264"/>
        <v>3934.92</v>
      </c>
      <c r="C69" s="3068"/>
      <c r="D69" s="172">
        <f t="shared" ref="D69" si="272">D105+D141+D177+D213+D249+D285+D321+D357</f>
        <v>3893.8399999999997</v>
      </c>
      <c r="E69" s="879"/>
      <c r="F69" s="172">
        <f t="shared" ref="F69" si="273">F105+F141+F177+F213+F249+F285+F321+F357</f>
        <v>3960.8500000000004</v>
      </c>
      <c r="G69" s="879"/>
      <c r="H69" s="172">
        <f t="shared" ref="H69" si="274">H105+H141+H177+H213+H249+H285+H321+H357</f>
        <v>4057.23</v>
      </c>
      <c r="I69" s="879"/>
      <c r="J69" s="172">
        <f t="shared" ref="J69" si="275">J105+J141+J177+J213+J249+J285+J321+J357</f>
        <v>4091.75</v>
      </c>
      <c r="K69" s="879"/>
      <c r="L69" s="880">
        <f t="shared" ref="L69" si="276">L105+L141+L177+L213+L249+L285+L321+L357</f>
        <v>4158.09</v>
      </c>
      <c r="M69" s="879"/>
      <c r="N69" s="880">
        <f t="shared" ref="N69" si="277">N105+N141+N177+N213+N249+N285+N321+N357</f>
        <v>4209</v>
      </c>
      <c r="O69" s="879"/>
      <c r="P69" s="168">
        <f t="shared" ref="P69" si="278">P105+P141+P177+P213+P249+P285+P321+P357</f>
        <v>4223</v>
      </c>
      <c r="Q69" s="879"/>
      <c r="R69" s="169">
        <f t="shared" ref="R69" si="279">R105+R141+R177+R213+R249+R285+R321+R357</f>
        <v>4223</v>
      </c>
      <c r="S69" s="879"/>
      <c r="T69" s="3191">
        <f t="shared" si="263"/>
        <v>1.1285630698535165E-2</v>
      </c>
      <c r="U69" s="77"/>
      <c r="V69" s="78">
        <f t="shared" si="230"/>
        <v>3.3262057495842242E-3</v>
      </c>
      <c r="W69" s="77"/>
      <c r="X69" s="3192">
        <f t="shared" si="231"/>
        <v>0</v>
      </c>
    </row>
    <row r="70" spans="1:24" s="860" customFormat="1">
      <c r="A70" s="863" t="s">
        <v>17</v>
      </c>
      <c r="B70" s="916">
        <f t="shared" ref="B70:D70" si="280">B106+B142+B178+B214+B250+B286+B322+B358</f>
        <v>1358.3000000000002</v>
      </c>
      <c r="C70" s="3068"/>
      <c r="D70" s="172">
        <f t="shared" si="280"/>
        <v>1429.02</v>
      </c>
      <c r="E70" s="879"/>
      <c r="F70" s="172">
        <f t="shared" ref="F70" si="281">F106+F142+F178+F214+F250+F286+F322+F358</f>
        <v>1450.14</v>
      </c>
      <c r="G70" s="879"/>
      <c r="H70" s="172">
        <f t="shared" ref="H70" si="282">H106+H142+H178+H214+H250+H286+H322+H358</f>
        <v>1482.9199999999998</v>
      </c>
      <c r="I70" s="879"/>
      <c r="J70" s="172">
        <f t="shared" ref="J70" si="283">J106+J142+J178+J214+J250+J286+J322+J358</f>
        <v>1542.17</v>
      </c>
      <c r="K70" s="879"/>
      <c r="L70" s="880">
        <f t="shared" ref="L70" si="284">L106+L142+L178+L214+L250+L286+L322+L358</f>
        <v>1577.1</v>
      </c>
      <c r="M70" s="879"/>
      <c r="N70" s="880">
        <f t="shared" ref="N70" si="285">N106+N142+N178+N214+N250+N286+N322+N358</f>
        <v>1606</v>
      </c>
      <c r="O70" s="879"/>
      <c r="P70" s="168">
        <f t="shared" ref="P70" si="286">P106+P142+P178+P214+P250+P286+P322+P358</f>
        <v>1622</v>
      </c>
      <c r="Q70" s="879"/>
      <c r="R70" s="169">
        <f t="shared" ref="R70" si="287">R106+R142+R178+R214+R250+R286+R322+R358</f>
        <v>1622</v>
      </c>
      <c r="S70" s="879"/>
      <c r="T70" s="3191">
        <f t="shared" si="263"/>
        <v>2.8312164545642782E-2</v>
      </c>
      <c r="U70" s="77"/>
      <c r="V70" s="78">
        <f t="shared" si="230"/>
        <v>9.9626400996264009E-3</v>
      </c>
      <c r="W70" s="77"/>
      <c r="X70" s="3192">
        <f t="shared" si="231"/>
        <v>0</v>
      </c>
    </row>
    <row r="71" spans="1:24" s="860" customFormat="1" ht="13.8" thickBot="1">
      <c r="A71" s="102" t="s">
        <v>154</v>
      </c>
      <c r="B71" s="918">
        <f t="shared" ref="B71:D71" si="288">B107+B143+B179+B215+B251+B287+B323+B359</f>
        <v>0</v>
      </c>
      <c r="C71" s="3071"/>
      <c r="D71" s="174">
        <f t="shared" si="288"/>
        <v>0</v>
      </c>
      <c r="E71" s="881"/>
      <c r="F71" s="174">
        <f t="shared" ref="F71" si="289">F107+F143+F179+F215+F251+F287+F323+F359</f>
        <v>0</v>
      </c>
      <c r="G71" s="881"/>
      <c r="H71" s="174">
        <f t="shared" ref="H71" si="290">H107+H143+H179+H215+H251+H287+H323+H359</f>
        <v>0</v>
      </c>
      <c r="I71" s="881"/>
      <c r="J71" s="174">
        <f t="shared" ref="J71" si="291">J107+J143+J179+J215+J251+J287+J323+J359</f>
        <v>0</v>
      </c>
      <c r="K71" s="881"/>
      <c r="L71" s="882">
        <f t="shared" ref="L71" si="292">L107+L143+L179+L215+L251+L287+L323+L359</f>
        <v>0</v>
      </c>
      <c r="M71" s="881"/>
      <c r="N71" s="882">
        <f t="shared" ref="N71" si="293">N107+N143+N179+N215+N251+N287+N323+N359</f>
        <v>0</v>
      </c>
      <c r="O71" s="881"/>
      <c r="P71" s="175">
        <f t="shared" ref="P71" si="294">P107+P143+P179+P215+P251+P287+P323+P359</f>
        <v>0</v>
      </c>
      <c r="Q71" s="881"/>
      <c r="R71" s="176">
        <f t="shared" ref="R71" si="295">R107+R143+R179+R215+R251+R287+R323+R359</f>
        <v>0</v>
      </c>
      <c r="S71" s="881"/>
      <c r="T71" s="3193"/>
      <c r="U71" s="3194"/>
      <c r="V71" s="3195"/>
      <c r="W71" s="3194"/>
      <c r="X71" s="3196"/>
    </row>
    <row r="72" spans="1:24" s="860" customFormat="1" ht="13.8" thickTop="1">
      <c r="A72" s="926" t="s">
        <v>25</v>
      </c>
      <c r="B72" s="123">
        <f>B60+B64+B68</f>
        <v>79615.5</v>
      </c>
      <c r="C72" s="124"/>
      <c r="D72" s="884">
        <f>D60+D64+D68</f>
        <v>80750.38</v>
      </c>
      <c r="E72" s="124"/>
      <c r="F72" s="884">
        <f>F60+F64+F68</f>
        <v>83788.27</v>
      </c>
      <c r="G72" s="124"/>
      <c r="H72" s="884">
        <f>H60+H64+H68</f>
        <v>87719.79</v>
      </c>
      <c r="I72" s="124"/>
      <c r="J72" s="884">
        <f>J60+J64+J68</f>
        <v>88975.71</v>
      </c>
      <c r="K72" s="124"/>
      <c r="L72" s="884">
        <f>L60+L64+L68</f>
        <v>89081.94</v>
      </c>
      <c r="M72" s="124"/>
      <c r="N72" s="884">
        <f>N60+N64+N68</f>
        <v>89507</v>
      </c>
      <c r="O72" s="124"/>
      <c r="P72" s="877">
        <f>P60+P64+P68</f>
        <v>89745</v>
      </c>
      <c r="Q72" s="124"/>
      <c r="R72" s="122">
        <f>R60+R64+R68</f>
        <v>89745</v>
      </c>
      <c r="S72" s="124"/>
      <c r="T72" s="3197">
        <f t="shared" ref="T72" si="296">(((N72/B72)^(1/6)-1))</f>
        <v>1.9709727758772555E-2</v>
      </c>
      <c r="U72" s="1480"/>
      <c r="V72" s="1479">
        <f t="shared" ref="V72" si="297">(P72-N72)/N72</f>
        <v>2.6590099098394537E-3</v>
      </c>
      <c r="W72" s="1480"/>
      <c r="X72" s="3198">
        <f t="shared" ref="X72" si="298">(R72-P72)/P72</f>
        <v>0</v>
      </c>
    </row>
    <row r="73" spans="1:24" s="860" customFormat="1" ht="8.25" customHeight="1" thickBot="1">
      <c r="A73" s="925"/>
      <c r="B73" s="126"/>
      <c r="C73" s="3068"/>
      <c r="D73" s="879"/>
      <c r="E73" s="879"/>
      <c r="F73" s="879"/>
      <c r="G73" s="879"/>
      <c r="H73" s="879"/>
      <c r="I73" s="879"/>
      <c r="J73" s="879"/>
      <c r="K73" s="879"/>
      <c r="L73" s="879"/>
      <c r="M73" s="879"/>
      <c r="N73" s="879"/>
      <c r="O73" s="879"/>
      <c r="P73" s="876"/>
      <c r="Q73" s="879"/>
      <c r="R73" s="127"/>
      <c r="S73" s="879"/>
      <c r="T73" s="84"/>
      <c r="U73" s="34"/>
      <c r="V73" s="34"/>
      <c r="W73" s="34"/>
      <c r="X73" s="42"/>
    </row>
    <row r="74" spans="1:24" s="860" customFormat="1">
      <c r="A74" s="908" t="s">
        <v>78</v>
      </c>
      <c r="B74" s="115"/>
      <c r="C74" s="3073"/>
      <c r="D74" s="116"/>
      <c r="E74" s="883"/>
      <c r="F74" s="116"/>
      <c r="G74" s="883"/>
      <c r="H74" s="117"/>
      <c r="I74" s="883"/>
      <c r="J74" s="117"/>
      <c r="K74" s="883"/>
      <c r="L74" s="117"/>
      <c r="M74" s="883"/>
      <c r="N74" s="117"/>
      <c r="O74" s="883"/>
      <c r="P74" s="118"/>
      <c r="Q74" s="883"/>
      <c r="R74" s="119"/>
      <c r="S74" s="883"/>
      <c r="T74" s="86"/>
      <c r="U74" s="45"/>
      <c r="V74" s="47"/>
      <c r="W74" s="45"/>
      <c r="X74" s="85"/>
    </row>
    <row r="75" spans="1:24" s="860" customFormat="1">
      <c r="A75" s="915" t="s">
        <v>79</v>
      </c>
      <c r="B75" s="177">
        <f t="shared" ref="B75:D76" si="299">B111+B147+B183+B219+B255+B291+B327+B363</f>
        <v>2676</v>
      </c>
      <c r="C75" s="3084"/>
      <c r="D75" s="217">
        <f t="shared" si="299"/>
        <v>3394</v>
      </c>
      <c r="E75" s="216"/>
      <c r="F75" s="217">
        <f t="shared" ref="F75" si="300">F111+F147+F183+F219+F255+F291+F327+F363</f>
        <v>4066</v>
      </c>
      <c r="G75" s="216"/>
      <c r="H75" s="218">
        <f t="shared" ref="H75" si="301">H111+H147+H183+H219+H255+H291+H327+H363</f>
        <v>5082</v>
      </c>
      <c r="I75" s="216"/>
      <c r="J75" s="218">
        <f t="shared" ref="J75" si="302">J111+J147+J183+J219+J255+J291+J327+J363</f>
        <v>5948</v>
      </c>
      <c r="K75" s="876"/>
      <c r="L75" s="218">
        <f t="shared" ref="L75:N75" si="303">L111+L147+L183+L219+L255+L291+L327+L363</f>
        <v>7544</v>
      </c>
      <c r="M75" s="876"/>
      <c r="N75" s="218">
        <f t="shared" si="303"/>
        <v>7544</v>
      </c>
      <c r="O75" s="876"/>
      <c r="P75" s="218">
        <f t="shared" ref="P75" si="304">P111+P147+P183+P219+P255+P291+P327+P363</f>
        <v>7544</v>
      </c>
      <c r="Q75" s="876"/>
      <c r="R75" s="218">
        <f t="shared" ref="R75" si="305">R111+R147+R183+R219+R255+R291+R327+R363</f>
        <v>7544</v>
      </c>
      <c r="S75" s="876"/>
      <c r="T75" s="3191">
        <f t="shared" ref="T75:T76" si="306">(((N75/B75)^(1/6)-1))</f>
        <v>0.18855494090184099</v>
      </c>
      <c r="U75" s="77"/>
      <c r="V75" s="78">
        <f t="shared" ref="V75:V76" si="307">(P75-N75)/N75</f>
        <v>0</v>
      </c>
      <c r="W75" s="77"/>
      <c r="X75" s="3192">
        <f t="shared" ref="X75:X76" si="308">(R75-P75)/P75</f>
        <v>0</v>
      </c>
    </row>
    <row r="76" spans="1:24" s="860" customFormat="1" ht="13.8" thickBot="1">
      <c r="A76" s="927" t="s">
        <v>80</v>
      </c>
      <c r="B76" s="177">
        <f t="shared" si="299"/>
        <v>480.09999999999997</v>
      </c>
      <c r="C76" s="220"/>
      <c r="D76" s="221">
        <f t="shared" si="299"/>
        <v>637.99999999999989</v>
      </c>
      <c r="E76" s="220"/>
      <c r="F76" s="221">
        <f t="shared" ref="F76" si="309">F112+F148+F184+F220+F256+F292+F328+F364</f>
        <v>789.3</v>
      </c>
      <c r="G76" s="220"/>
      <c r="H76" s="222">
        <f t="shared" ref="H76" si="310">H112+H148+H184+H220+H256+H292+H328+H364</f>
        <v>1143.0999999999999</v>
      </c>
      <c r="I76" s="220"/>
      <c r="J76" s="222">
        <f t="shared" ref="J76" si="311">J112+J148+J184+J220+J256+J292+J328+J364</f>
        <v>1287.3</v>
      </c>
      <c r="K76" s="97"/>
      <c r="L76" s="222">
        <f t="shared" ref="L76:N76" si="312">L112+L148+L184+L220+L256+L292+L328+L364</f>
        <v>1494.1999999999998</v>
      </c>
      <c r="M76" s="97"/>
      <c r="N76" s="222">
        <f t="shared" si="312"/>
        <v>1494.1999999999998</v>
      </c>
      <c r="O76" s="97"/>
      <c r="P76" s="222">
        <f t="shared" ref="P76" si="313">P112+P148+P184+P220+P256+P292+P328+P364</f>
        <v>1494.1999999999998</v>
      </c>
      <c r="Q76" s="97"/>
      <c r="R76" s="222">
        <f t="shared" ref="R76" si="314">R112+R148+R184+R220+R256+R292+R328+R364</f>
        <v>1494.1999999999998</v>
      </c>
      <c r="S76" s="97"/>
      <c r="T76" s="3191">
        <f t="shared" si="306"/>
        <v>0.20831315678675577</v>
      </c>
      <c r="U76" s="77"/>
      <c r="V76" s="78">
        <f t="shared" si="307"/>
        <v>0</v>
      </c>
      <c r="W76" s="77"/>
      <c r="X76" s="3192">
        <f t="shared" si="308"/>
        <v>0</v>
      </c>
    </row>
    <row r="77" spans="1:24" ht="13.8" thickBot="1">
      <c r="A77" s="111"/>
      <c r="B77" s="112"/>
      <c r="C77" s="112"/>
      <c r="D77" s="112"/>
      <c r="E77" s="112"/>
      <c r="F77" s="113"/>
      <c r="G77" s="112"/>
      <c r="H77" s="112"/>
      <c r="I77" s="112"/>
      <c r="J77" s="112"/>
      <c r="K77" s="112"/>
      <c r="L77" s="112"/>
      <c r="M77" s="112"/>
      <c r="N77" s="112"/>
      <c r="O77" s="112"/>
      <c r="P77" s="112"/>
      <c r="Q77" s="112"/>
      <c r="R77" s="112"/>
      <c r="S77" s="112"/>
      <c r="T77" s="112"/>
      <c r="U77" s="112"/>
      <c r="V77" s="112"/>
      <c r="W77" s="112"/>
      <c r="X77" s="112"/>
    </row>
    <row r="78" spans="1:24" s="110" customFormat="1">
      <c r="A78" s="114" t="s">
        <v>172</v>
      </c>
      <c r="B78" s="20" t="s">
        <v>13</v>
      </c>
      <c r="C78" s="3051"/>
      <c r="D78" s="22" t="s">
        <v>13</v>
      </c>
      <c r="E78" s="54"/>
      <c r="F78" s="50" t="s">
        <v>13</v>
      </c>
      <c r="G78" s="54"/>
      <c r="H78" s="50" t="s">
        <v>13</v>
      </c>
      <c r="I78" s="54"/>
      <c r="J78" s="50" t="s">
        <v>13</v>
      </c>
      <c r="K78" s="54"/>
      <c r="L78" s="23" t="s">
        <v>14</v>
      </c>
      <c r="M78" s="54"/>
      <c r="N78" s="23" t="s">
        <v>15</v>
      </c>
      <c r="O78" s="54"/>
      <c r="P78" s="29" t="s">
        <v>16</v>
      </c>
      <c r="Q78" s="54"/>
      <c r="R78" s="31" t="s">
        <v>16</v>
      </c>
      <c r="S78" s="54"/>
      <c r="T78" s="89" t="s">
        <v>62</v>
      </c>
      <c r="U78" s="21"/>
      <c r="V78" s="93" t="s">
        <v>75</v>
      </c>
      <c r="W78" s="21"/>
      <c r="X78" s="91" t="s">
        <v>75</v>
      </c>
    </row>
    <row r="79" spans="1:24" s="110" customFormat="1" ht="13.8" thickBot="1">
      <c r="A79" s="55"/>
      <c r="B79" s="19" t="s">
        <v>3</v>
      </c>
      <c r="C79" s="3053"/>
      <c r="D79" s="8" t="s">
        <v>4</v>
      </c>
      <c r="E79" s="56"/>
      <c r="F79" s="9" t="s">
        <v>5</v>
      </c>
      <c r="G79" s="56"/>
      <c r="H79" s="10" t="s">
        <v>6</v>
      </c>
      <c r="I79" s="56"/>
      <c r="J79" s="10" t="s">
        <v>7</v>
      </c>
      <c r="K79" s="56"/>
      <c r="L79" s="10" t="s">
        <v>8</v>
      </c>
      <c r="M79" s="56"/>
      <c r="N79" s="10" t="s">
        <v>9</v>
      </c>
      <c r="O79" s="56"/>
      <c r="P79" s="30" t="s">
        <v>10</v>
      </c>
      <c r="Q79" s="56"/>
      <c r="R79" s="32" t="s">
        <v>11</v>
      </c>
      <c r="S79" s="56"/>
      <c r="T79" s="90" t="s">
        <v>63</v>
      </c>
      <c r="U79" s="12"/>
      <c r="V79" s="88" t="s">
        <v>76</v>
      </c>
      <c r="W79" s="12"/>
      <c r="X79" s="92" t="s">
        <v>77</v>
      </c>
    </row>
    <row r="80" spans="1:24">
      <c r="A80" s="51" t="s">
        <v>81</v>
      </c>
      <c r="B80" s="115"/>
      <c r="C80" s="3073"/>
      <c r="D80" s="116"/>
      <c r="E80" s="83"/>
      <c r="F80" s="116"/>
      <c r="G80" s="83"/>
      <c r="H80" s="117"/>
      <c r="I80" s="83"/>
      <c r="J80" s="117"/>
      <c r="K80" s="83"/>
      <c r="L80" s="117"/>
      <c r="M80" s="83"/>
      <c r="N80" s="117"/>
      <c r="O80" s="83"/>
      <c r="P80" s="118"/>
      <c r="Q80" s="83"/>
      <c r="R80" s="119"/>
      <c r="S80" s="83"/>
      <c r="T80" s="120"/>
      <c r="U80" s="83"/>
      <c r="V80" s="117"/>
      <c r="W80" s="83"/>
      <c r="X80" s="121"/>
    </row>
    <row r="81" spans="1:24">
      <c r="A81" s="15" t="s">
        <v>19</v>
      </c>
      <c r="B81" s="71">
        <f>SUM(B82:B84)</f>
        <v>35413</v>
      </c>
      <c r="C81" s="3065"/>
      <c r="D81" s="73">
        <f>SUM(D82:D84)</f>
        <v>35581</v>
      </c>
      <c r="E81" s="72"/>
      <c r="F81" s="73">
        <f>SUM(F82:F84)</f>
        <v>36536</v>
      </c>
      <c r="G81" s="72"/>
      <c r="H81" s="73">
        <f>SUM(H82:H84)</f>
        <v>37076</v>
      </c>
      <c r="I81" s="72"/>
      <c r="J81" s="73">
        <f>SUM(J82:J84)</f>
        <v>36992</v>
      </c>
      <c r="K81" s="72"/>
      <c r="L81" s="73">
        <f>SUM(L82:L84)</f>
        <v>36641</v>
      </c>
      <c r="M81" s="72"/>
      <c r="N81" s="73">
        <f>SUM(N82:N84)</f>
        <v>36642</v>
      </c>
      <c r="O81" s="72"/>
      <c r="P81" s="73">
        <f>SUM(P82:P84)</f>
        <v>36642</v>
      </c>
      <c r="Q81" s="72"/>
      <c r="R81" s="122">
        <f>SUM(R82:R84)</f>
        <v>36642</v>
      </c>
      <c r="S81" s="72"/>
      <c r="T81" s="3188">
        <f>(((N81/B81)^(1/6)-1))</f>
        <v>5.7022192964204521E-3</v>
      </c>
      <c r="U81" s="25"/>
      <c r="V81" s="3189">
        <f>(P81-N81)/N81</f>
        <v>0</v>
      </c>
      <c r="W81" s="25"/>
      <c r="X81" s="3190">
        <f>(R81-P81)/P81</f>
        <v>0</v>
      </c>
    </row>
    <row r="82" spans="1:24">
      <c r="A82" s="15" t="s">
        <v>20</v>
      </c>
      <c r="B82" s="134">
        <v>22223</v>
      </c>
      <c r="C82" s="1902"/>
      <c r="D82" s="136">
        <v>22044</v>
      </c>
      <c r="E82" s="135"/>
      <c r="F82" s="136">
        <v>22409</v>
      </c>
      <c r="G82" s="135"/>
      <c r="H82" s="136">
        <v>22956</v>
      </c>
      <c r="I82" s="135"/>
      <c r="J82" s="136">
        <v>23133</v>
      </c>
      <c r="K82" s="137"/>
      <c r="L82" s="136">
        <v>23065</v>
      </c>
      <c r="M82" s="135"/>
      <c r="N82" s="136">
        <v>23066</v>
      </c>
      <c r="O82" s="135"/>
      <c r="P82" s="136">
        <v>23066</v>
      </c>
      <c r="Q82" s="135"/>
      <c r="R82" s="138">
        <v>23066</v>
      </c>
      <c r="S82" s="74"/>
      <c r="T82" s="3191">
        <f t="shared" ref="T82:T85" si="315">(((N82/B82)^(1/6)-1))</f>
        <v>6.2246067129085869E-3</v>
      </c>
      <c r="U82" s="77"/>
      <c r="V82" s="78">
        <f t="shared" ref="V82:V93" si="316">(P82-N82)/N82</f>
        <v>0</v>
      </c>
      <c r="W82" s="77"/>
      <c r="X82" s="3192">
        <f t="shared" ref="X82:X93" si="317">(R82-P82)/P82</f>
        <v>0</v>
      </c>
    </row>
    <row r="83" spans="1:24">
      <c r="A83" s="15" t="s">
        <v>17</v>
      </c>
      <c r="B83" s="134">
        <v>13190</v>
      </c>
      <c r="C83" s="1902"/>
      <c r="D83" s="136">
        <v>13537</v>
      </c>
      <c r="E83" s="135"/>
      <c r="F83" s="136">
        <v>14127</v>
      </c>
      <c r="G83" s="135"/>
      <c r="H83" s="136">
        <v>14120</v>
      </c>
      <c r="I83" s="135"/>
      <c r="J83" s="136">
        <v>13859</v>
      </c>
      <c r="K83" s="137"/>
      <c r="L83" s="136">
        <v>13576</v>
      </c>
      <c r="M83" s="135"/>
      <c r="N83" s="136">
        <v>13576</v>
      </c>
      <c r="O83" s="135"/>
      <c r="P83" s="136">
        <v>13576</v>
      </c>
      <c r="Q83" s="135"/>
      <c r="R83" s="138">
        <v>13576</v>
      </c>
      <c r="S83" s="74"/>
      <c r="T83" s="3191">
        <f t="shared" si="315"/>
        <v>4.8190010836253183E-3</v>
      </c>
      <c r="U83" s="77"/>
      <c r="V83" s="78">
        <f t="shared" si="316"/>
        <v>0</v>
      </c>
      <c r="W83" s="77"/>
      <c r="X83" s="3192">
        <f t="shared" si="317"/>
        <v>0</v>
      </c>
    </row>
    <row r="84" spans="1:24">
      <c r="A84" s="15" t="s">
        <v>154</v>
      </c>
      <c r="B84" s="134">
        <v>0</v>
      </c>
      <c r="C84" s="1902"/>
      <c r="D84" s="136">
        <v>0</v>
      </c>
      <c r="E84" s="135"/>
      <c r="F84" s="136">
        <v>0</v>
      </c>
      <c r="G84" s="135"/>
      <c r="H84" s="136">
        <v>0</v>
      </c>
      <c r="I84" s="135"/>
      <c r="J84" s="136">
        <v>0</v>
      </c>
      <c r="K84" s="137"/>
      <c r="L84" s="136">
        <v>0</v>
      </c>
      <c r="M84" s="135"/>
      <c r="N84" s="136">
        <v>0</v>
      </c>
      <c r="O84" s="135"/>
      <c r="P84" s="136">
        <v>0</v>
      </c>
      <c r="Q84" s="135"/>
      <c r="R84" s="138">
        <v>0</v>
      </c>
      <c r="S84" s="74"/>
      <c r="T84" s="3191"/>
      <c r="U84" s="77"/>
      <c r="V84" s="78"/>
      <c r="W84" s="77"/>
      <c r="X84" s="3192"/>
    </row>
    <row r="85" spans="1:24">
      <c r="A85" s="15" t="s">
        <v>21</v>
      </c>
      <c r="B85" s="131">
        <f>SUM(B86:B88)</f>
        <v>10016</v>
      </c>
      <c r="C85" s="3065"/>
      <c r="D85" s="133">
        <f>SUM(D86:D88)</f>
        <v>9931</v>
      </c>
      <c r="E85" s="132"/>
      <c r="F85" s="133">
        <f>SUM(F86:F88)</f>
        <v>10012</v>
      </c>
      <c r="G85" s="132"/>
      <c r="H85" s="133">
        <f>SUM(H86:H88)</f>
        <v>11109</v>
      </c>
      <c r="I85" s="132"/>
      <c r="J85" s="133">
        <f>SUM(J86:J88)</f>
        <v>11146</v>
      </c>
      <c r="K85" s="132"/>
      <c r="L85" s="133">
        <f>SUM(L86:L88)</f>
        <v>10961</v>
      </c>
      <c r="M85" s="132"/>
      <c r="N85" s="133">
        <f>SUM(N86:N88)</f>
        <v>11006</v>
      </c>
      <c r="O85" s="132"/>
      <c r="P85" s="133">
        <f>SUM(P86:P88)</f>
        <v>11055</v>
      </c>
      <c r="Q85" s="132"/>
      <c r="R85" s="122">
        <f>SUM(R86:R88)</f>
        <v>11055</v>
      </c>
      <c r="S85" s="74"/>
      <c r="T85" s="3197">
        <f t="shared" si="315"/>
        <v>1.5833502985767023E-2</v>
      </c>
      <c r="U85" s="1480"/>
      <c r="V85" s="1479">
        <f t="shared" si="316"/>
        <v>4.4521170270761402E-3</v>
      </c>
      <c r="W85" s="1480"/>
      <c r="X85" s="3198">
        <f t="shared" si="317"/>
        <v>0</v>
      </c>
    </row>
    <row r="86" spans="1:24">
      <c r="A86" s="15" t="s">
        <v>20</v>
      </c>
      <c r="B86" s="139">
        <v>3885</v>
      </c>
      <c r="C86" s="1902"/>
      <c r="D86" s="141">
        <v>3602</v>
      </c>
      <c r="E86" s="140"/>
      <c r="F86" s="141">
        <v>3540</v>
      </c>
      <c r="G86" s="140"/>
      <c r="H86" s="141">
        <v>3459</v>
      </c>
      <c r="I86" s="140"/>
      <c r="J86" s="141">
        <v>3271</v>
      </c>
      <c r="K86" s="142"/>
      <c r="L86" s="141">
        <v>3013</v>
      </c>
      <c r="M86" s="140"/>
      <c r="N86" s="141">
        <v>3058</v>
      </c>
      <c r="O86" s="140"/>
      <c r="P86" s="144">
        <v>3058</v>
      </c>
      <c r="Q86" s="140"/>
      <c r="R86" s="143">
        <v>3058</v>
      </c>
      <c r="S86" s="74"/>
      <c r="T86" s="3191">
        <f>(((N86/B86)^(1/6)-1))</f>
        <v>-3.9108371663729491E-2</v>
      </c>
      <c r="U86" s="77"/>
      <c r="V86" s="78">
        <f t="shared" si="316"/>
        <v>0</v>
      </c>
      <c r="W86" s="77"/>
      <c r="X86" s="3192">
        <f t="shared" si="317"/>
        <v>0</v>
      </c>
    </row>
    <row r="87" spans="1:24">
      <c r="A87" s="15" t="s">
        <v>17</v>
      </c>
      <c r="B87" s="139">
        <v>6131</v>
      </c>
      <c r="C87" s="1902"/>
      <c r="D87" s="141">
        <v>6329</v>
      </c>
      <c r="E87" s="140"/>
      <c r="F87" s="141">
        <v>6472</v>
      </c>
      <c r="G87" s="140"/>
      <c r="H87" s="141">
        <v>7650</v>
      </c>
      <c r="I87" s="140"/>
      <c r="J87" s="141">
        <v>7875</v>
      </c>
      <c r="K87" s="142"/>
      <c r="L87" s="141">
        <v>7948</v>
      </c>
      <c r="M87" s="140"/>
      <c r="N87" s="141">
        <v>7948</v>
      </c>
      <c r="O87" s="140"/>
      <c r="P87" s="144">
        <v>7997</v>
      </c>
      <c r="Q87" s="140"/>
      <c r="R87" s="143">
        <v>7997</v>
      </c>
      <c r="S87" s="74"/>
      <c r="T87" s="3191">
        <f t="shared" ref="T87:T91" si="318">(((N87/B87)^(1/6)-1))</f>
        <v>4.420978140538212E-2</v>
      </c>
      <c r="U87" s="77"/>
      <c r="V87" s="78">
        <f t="shared" si="316"/>
        <v>6.165072974333166E-3</v>
      </c>
      <c r="W87" s="77"/>
      <c r="X87" s="3192">
        <f t="shared" si="317"/>
        <v>0</v>
      </c>
    </row>
    <row r="88" spans="1:24">
      <c r="A88" s="15" t="s">
        <v>154</v>
      </c>
      <c r="B88" s="139">
        <v>0</v>
      </c>
      <c r="C88" s="1902"/>
      <c r="D88" s="141">
        <v>0</v>
      </c>
      <c r="E88" s="140"/>
      <c r="F88" s="141">
        <v>0</v>
      </c>
      <c r="G88" s="140"/>
      <c r="H88" s="141">
        <v>0</v>
      </c>
      <c r="I88" s="140"/>
      <c r="J88" s="141">
        <v>0</v>
      </c>
      <c r="K88" s="142"/>
      <c r="L88" s="141">
        <v>0</v>
      </c>
      <c r="M88" s="140"/>
      <c r="N88" s="141">
        <v>0</v>
      </c>
      <c r="O88" s="140"/>
      <c r="P88" s="144">
        <v>0</v>
      </c>
      <c r="Q88" s="140"/>
      <c r="R88" s="143">
        <v>0</v>
      </c>
      <c r="S88" s="74"/>
      <c r="T88" s="3191"/>
      <c r="U88" s="77"/>
      <c r="V88" s="78"/>
      <c r="W88" s="77"/>
      <c r="X88" s="3192"/>
    </row>
    <row r="89" spans="1:24">
      <c r="A89" s="18" t="s">
        <v>22</v>
      </c>
      <c r="B89" s="131">
        <f>SUM(B90:B92)</f>
        <v>973</v>
      </c>
      <c r="C89" s="3065"/>
      <c r="D89" s="133">
        <f>SUM(D90:D92)</f>
        <v>952</v>
      </c>
      <c r="E89" s="132"/>
      <c r="F89" s="133">
        <f>SUM(F90:F92)</f>
        <v>946</v>
      </c>
      <c r="G89" s="132"/>
      <c r="H89" s="133">
        <f>SUM(H90:H92)</f>
        <v>923</v>
      </c>
      <c r="I89" s="132"/>
      <c r="J89" s="133">
        <f>SUM(J90:J92)</f>
        <v>1006</v>
      </c>
      <c r="K89" s="132"/>
      <c r="L89" s="133">
        <f>SUM(L90:L92)</f>
        <v>1033</v>
      </c>
      <c r="M89" s="132"/>
      <c r="N89" s="133">
        <f>SUM(N90:N92)</f>
        <v>1056</v>
      </c>
      <c r="O89" s="132"/>
      <c r="P89" s="133">
        <f>SUM(P90:P92)</f>
        <v>1070</v>
      </c>
      <c r="Q89" s="132"/>
      <c r="R89" s="122">
        <f>SUM(R90:R92)</f>
        <v>1070</v>
      </c>
      <c r="S89" s="74"/>
      <c r="T89" s="3197">
        <f t="shared" si="318"/>
        <v>1.373672391476144E-2</v>
      </c>
      <c r="U89" s="1480"/>
      <c r="V89" s="1479">
        <f t="shared" si="316"/>
        <v>1.3257575757575758E-2</v>
      </c>
      <c r="W89" s="1480"/>
      <c r="X89" s="3198">
        <f t="shared" si="317"/>
        <v>0</v>
      </c>
    </row>
    <row r="90" spans="1:24">
      <c r="A90" s="15" t="s">
        <v>20</v>
      </c>
      <c r="B90" s="150">
        <v>431</v>
      </c>
      <c r="C90" s="1902"/>
      <c r="D90" s="151">
        <v>410</v>
      </c>
      <c r="E90" s="145"/>
      <c r="F90" s="151">
        <v>426</v>
      </c>
      <c r="G90" s="145"/>
      <c r="H90" s="151">
        <v>390</v>
      </c>
      <c r="I90" s="145"/>
      <c r="J90" s="151">
        <v>406</v>
      </c>
      <c r="K90" s="147"/>
      <c r="L90" s="151">
        <v>377</v>
      </c>
      <c r="M90" s="145"/>
      <c r="N90" s="146">
        <v>378</v>
      </c>
      <c r="O90" s="145"/>
      <c r="P90" s="149">
        <v>386</v>
      </c>
      <c r="Q90" s="145"/>
      <c r="R90" s="148">
        <v>386</v>
      </c>
      <c r="S90" s="74"/>
      <c r="T90" s="3191">
        <f t="shared" si="318"/>
        <v>-2.1631589878280733E-2</v>
      </c>
      <c r="U90" s="77"/>
      <c r="V90" s="78">
        <f t="shared" si="316"/>
        <v>2.1164021164021163E-2</v>
      </c>
      <c r="W90" s="77"/>
      <c r="X90" s="3192">
        <f t="shared" si="317"/>
        <v>0</v>
      </c>
    </row>
    <row r="91" spans="1:24">
      <c r="A91" s="15" t="s">
        <v>17</v>
      </c>
      <c r="B91" s="150">
        <v>542</v>
      </c>
      <c r="C91" s="1902"/>
      <c r="D91" s="151">
        <v>542</v>
      </c>
      <c r="E91" s="145"/>
      <c r="F91" s="151">
        <v>520</v>
      </c>
      <c r="G91" s="145"/>
      <c r="H91" s="151">
        <v>533</v>
      </c>
      <c r="I91" s="145"/>
      <c r="J91" s="151">
        <v>600</v>
      </c>
      <c r="K91" s="147"/>
      <c r="L91" s="151">
        <v>656</v>
      </c>
      <c r="M91" s="145"/>
      <c r="N91" s="146">
        <v>678</v>
      </c>
      <c r="O91" s="145"/>
      <c r="P91" s="149">
        <v>684</v>
      </c>
      <c r="Q91" s="145"/>
      <c r="R91" s="148">
        <v>684</v>
      </c>
      <c r="S91" s="74"/>
      <c r="T91" s="3191">
        <f t="shared" si="318"/>
        <v>3.8018438164430401E-2</v>
      </c>
      <c r="U91" s="77"/>
      <c r="V91" s="78">
        <f t="shared" si="316"/>
        <v>8.8495575221238937E-3</v>
      </c>
      <c r="W91" s="77"/>
      <c r="X91" s="3192">
        <f t="shared" si="317"/>
        <v>0</v>
      </c>
    </row>
    <row r="92" spans="1:24" ht="13.8" thickBot="1">
      <c r="A92" s="102" t="s">
        <v>154</v>
      </c>
      <c r="B92" s="152">
        <v>0</v>
      </c>
      <c r="C92" s="1909"/>
      <c r="D92" s="154">
        <v>0</v>
      </c>
      <c r="E92" s="153"/>
      <c r="F92" s="154">
        <v>0</v>
      </c>
      <c r="G92" s="153"/>
      <c r="H92" s="154">
        <v>0</v>
      </c>
      <c r="I92" s="153"/>
      <c r="J92" s="154">
        <v>0</v>
      </c>
      <c r="K92" s="155"/>
      <c r="L92" s="154">
        <v>0</v>
      </c>
      <c r="M92" s="153"/>
      <c r="N92" s="156">
        <v>0</v>
      </c>
      <c r="O92" s="153"/>
      <c r="P92" s="157">
        <v>0</v>
      </c>
      <c r="Q92" s="153"/>
      <c r="R92" s="158">
        <v>0</v>
      </c>
      <c r="S92" s="81"/>
      <c r="T92" s="3193"/>
      <c r="U92" s="3194"/>
      <c r="V92" s="3195"/>
      <c r="W92" s="3194"/>
      <c r="X92" s="3196"/>
    </row>
    <row r="93" spans="1:24" ht="13.8" thickTop="1">
      <c r="A93" s="13" t="s">
        <v>23</v>
      </c>
      <c r="B93" s="123">
        <f>B81+B85+B89</f>
        <v>46402</v>
      </c>
      <c r="C93" s="124"/>
      <c r="D93" s="125">
        <f>D81+D85+D89</f>
        <v>46464</v>
      </c>
      <c r="E93" s="124"/>
      <c r="F93" s="125">
        <f>F81+F85+F89</f>
        <v>47494</v>
      </c>
      <c r="G93" s="124"/>
      <c r="H93" s="125">
        <f>H81+H85+H89</f>
        <v>49108</v>
      </c>
      <c r="I93" s="124"/>
      <c r="J93" s="125">
        <f>J81+J85+J89</f>
        <v>49144</v>
      </c>
      <c r="K93" s="124"/>
      <c r="L93" s="125">
        <f>L81+L85+L89</f>
        <v>48635</v>
      </c>
      <c r="M93" s="124"/>
      <c r="N93" s="125">
        <f>N81+N85+N89</f>
        <v>48704</v>
      </c>
      <c r="O93" s="124"/>
      <c r="P93" s="73">
        <f>P81+P85+P89</f>
        <v>48767</v>
      </c>
      <c r="Q93" s="124"/>
      <c r="R93" s="122">
        <f>R81+R85+R89</f>
        <v>48767</v>
      </c>
      <c r="S93" s="124"/>
      <c r="T93" s="3197">
        <f t="shared" ref="T93" si="319">(((N93/B93)^(1/6)-1))</f>
        <v>8.1024150780062421E-3</v>
      </c>
      <c r="U93" s="1480"/>
      <c r="V93" s="1479">
        <f t="shared" si="316"/>
        <v>1.2935282522996059E-3</v>
      </c>
      <c r="W93" s="1480"/>
      <c r="X93" s="3198">
        <f t="shared" si="317"/>
        <v>0</v>
      </c>
    </row>
    <row r="94" spans="1:24" ht="8.25" customHeight="1" thickBot="1">
      <c r="A94" s="58"/>
      <c r="B94" s="126"/>
      <c r="C94" s="3068"/>
      <c r="D94" s="74"/>
      <c r="E94" s="74"/>
      <c r="F94" s="74"/>
      <c r="G94" s="74"/>
      <c r="H94" s="74"/>
      <c r="I94" s="74"/>
      <c r="J94" s="74"/>
      <c r="K94" s="74"/>
      <c r="L94" s="74"/>
      <c r="M94" s="74"/>
      <c r="N94" s="74"/>
      <c r="O94" s="74"/>
      <c r="P94" s="72"/>
      <c r="Q94" s="74"/>
      <c r="R94" s="127"/>
      <c r="S94" s="74"/>
      <c r="T94" s="84"/>
      <c r="U94" s="34"/>
      <c r="V94" s="34"/>
      <c r="W94" s="34"/>
      <c r="X94" s="42"/>
    </row>
    <row r="95" spans="1:24">
      <c r="A95" s="51" t="s">
        <v>24</v>
      </c>
      <c r="B95" s="115"/>
      <c r="C95" s="3073"/>
      <c r="D95" s="116"/>
      <c r="E95" s="83"/>
      <c r="F95" s="116"/>
      <c r="G95" s="83"/>
      <c r="H95" s="117"/>
      <c r="I95" s="83"/>
      <c r="J95" s="117"/>
      <c r="K95" s="83"/>
      <c r="L95" s="117"/>
      <c r="M95" s="83"/>
      <c r="N95" s="117"/>
      <c r="O95" s="83"/>
      <c r="P95" s="118"/>
      <c r="Q95" s="83"/>
      <c r="R95" s="119"/>
      <c r="S95" s="83"/>
      <c r="T95" s="86"/>
      <c r="U95" s="45"/>
      <c r="V95" s="47"/>
      <c r="W95" s="45"/>
      <c r="X95" s="85"/>
    </row>
    <row r="96" spans="1:24">
      <c r="A96" s="15" t="s">
        <v>19</v>
      </c>
      <c r="B96" s="159">
        <f>SUM(B97:B99)</f>
        <v>30050.699999999997</v>
      </c>
      <c r="C96" s="3065"/>
      <c r="D96" s="161">
        <f>SUM(D97:D99)</f>
        <v>30644.9</v>
      </c>
      <c r="E96" s="160"/>
      <c r="F96" s="161">
        <f>SUM(F97:F99)</f>
        <v>31909.599999999999</v>
      </c>
      <c r="G96" s="160"/>
      <c r="H96" s="161">
        <f>SUM(H97:H99)</f>
        <v>32679.199999999997</v>
      </c>
      <c r="I96" s="160"/>
      <c r="J96" s="161">
        <f>SUM(J97:J99)</f>
        <v>32533.4</v>
      </c>
      <c r="K96" s="160"/>
      <c r="L96" s="161">
        <f>SUM(L97:L99)</f>
        <v>32659.55</v>
      </c>
      <c r="M96" s="160"/>
      <c r="N96" s="161">
        <f>SUM(N97:N99)</f>
        <v>32660</v>
      </c>
      <c r="O96" s="160"/>
      <c r="P96" s="161">
        <f>SUM(P97:P99)</f>
        <v>32660</v>
      </c>
      <c r="Q96" s="160"/>
      <c r="R96" s="122">
        <f>SUM(R97:R99)</f>
        <v>32660</v>
      </c>
      <c r="S96" s="72"/>
      <c r="T96" s="3188">
        <f>(((N96/B96)^(1/6)-1))</f>
        <v>1.3974261847933045E-2</v>
      </c>
      <c r="U96" s="25"/>
      <c r="V96" s="3189">
        <f>(P96-N96)/N96</f>
        <v>0</v>
      </c>
      <c r="W96" s="25"/>
      <c r="X96" s="3190">
        <f>(R96-P96)/P96</f>
        <v>0</v>
      </c>
    </row>
    <row r="97" spans="1:25">
      <c r="A97" s="15" t="s">
        <v>20</v>
      </c>
      <c r="B97" s="162">
        <v>19475.099999999999</v>
      </c>
      <c r="C97" s="3068"/>
      <c r="D97" s="164">
        <v>19332.3</v>
      </c>
      <c r="E97" s="163"/>
      <c r="F97" s="164">
        <v>19858.5</v>
      </c>
      <c r="G97" s="163"/>
      <c r="H97" s="164">
        <v>20431.8</v>
      </c>
      <c r="I97" s="163"/>
      <c r="J97" s="164">
        <v>20620.900000000001</v>
      </c>
      <c r="K97" s="163"/>
      <c r="L97" s="164">
        <v>20843.53</v>
      </c>
      <c r="M97" s="163"/>
      <c r="N97" s="164">
        <v>20844</v>
      </c>
      <c r="O97" s="163"/>
      <c r="P97" s="168">
        <v>20844</v>
      </c>
      <c r="Q97" s="163"/>
      <c r="R97" s="169">
        <v>20844</v>
      </c>
      <c r="S97" s="74"/>
      <c r="T97" s="3191">
        <f t="shared" ref="T97:T100" si="320">(((N97/B97)^(1/6)-1))</f>
        <v>1.1385899923544551E-2</v>
      </c>
      <c r="U97" s="77"/>
      <c r="V97" s="78">
        <f t="shared" ref="V97:V106" si="321">(P97-N97)/N97</f>
        <v>0</v>
      </c>
      <c r="W97" s="77"/>
      <c r="X97" s="3192">
        <f t="shared" ref="X97:X106" si="322">(R97-P97)/P97</f>
        <v>0</v>
      </c>
    </row>
    <row r="98" spans="1:25">
      <c r="A98" s="15" t="s">
        <v>17</v>
      </c>
      <c r="B98" s="162">
        <v>10575.6</v>
      </c>
      <c r="C98" s="3068"/>
      <c r="D98" s="164">
        <v>11312.6</v>
      </c>
      <c r="E98" s="163"/>
      <c r="F98" s="164">
        <v>12051.1</v>
      </c>
      <c r="G98" s="163"/>
      <c r="H98" s="164">
        <v>12247.4</v>
      </c>
      <c r="I98" s="163"/>
      <c r="J98" s="164">
        <v>11912.5</v>
      </c>
      <c r="K98" s="163"/>
      <c r="L98" s="164">
        <v>11816.02</v>
      </c>
      <c r="M98" s="163"/>
      <c r="N98" s="164">
        <v>11816</v>
      </c>
      <c r="O98" s="163"/>
      <c r="P98" s="168">
        <v>11816</v>
      </c>
      <c r="Q98" s="163"/>
      <c r="R98" s="169">
        <v>11816</v>
      </c>
      <c r="S98" s="74"/>
      <c r="T98" s="3191">
        <f t="shared" si="320"/>
        <v>1.8656070636102751E-2</v>
      </c>
      <c r="U98" s="77"/>
      <c r="V98" s="78">
        <f t="shared" si="321"/>
        <v>0</v>
      </c>
      <c r="W98" s="77"/>
      <c r="X98" s="3192">
        <f t="shared" si="322"/>
        <v>0</v>
      </c>
    </row>
    <row r="99" spans="1:25">
      <c r="A99" s="15" t="s">
        <v>154</v>
      </c>
      <c r="B99" s="162">
        <v>0</v>
      </c>
      <c r="C99" s="3068"/>
      <c r="D99" s="164">
        <v>0</v>
      </c>
      <c r="E99" s="163"/>
      <c r="F99" s="164">
        <v>0</v>
      </c>
      <c r="G99" s="163"/>
      <c r="H99" s="164">
        <v>0</v>
      </c>
      <c r="I99" s="163"/>
      <c r="J99" s="164">
        <v>0</v>
      </c>
      <c r="K99" s="163"/>
      <c r="L99" s="164">
        <v>0</v>
      </c>
      <c r="M99" s="163"/>
      <c r="N99" s="164">
        <v>0</v>
      </c>
      <c r="O99" s="163"/>
      <c r="P99" s="168">
        <v>0</v>
      </c>
      <c r="Q99" s="163"/>
      <c r="R99" s="169">
        <v>0</v>
      </c>
      <c r="S99" s="74"/>
      <c r="T99" s="3191"/>
      <c r="U99" s="77"/>
      <c r="V99" s="78"/>
      <c r="W99" s="77"/>
      <c r="X99" s="3192"/>
    </row>
    <row r="100" spans="1:25">
      <c r="A100" s="15" t="s">
        <v>21</v>
      </c>
      <c r="B100" s="159">
        <f>SUM(B101:B103)</f>
        <v>6092.7000000000007</v>
      </c>
      <c r="C100" s="3065"/>
      <c r="D100" s="161">
        <f>SUM(D101:D103)</f>
        <v>6189.4</v>
      </c>
      <c r="E100" s="160"/>
      <c r="F100" s="161">
        <f>SUM(F101:F103)</f>
        <v>6261.5</v>
      </c>
      <c r="G100" s="160"/>
      <c r="H100" s="161">
        <f>SUM(H101:H103)</f>
        <v>6896.5</v>
      </c>
      <c r="I100" s="160"/>
      <c r="J100" s="161">
        <f>SUM(J101:J103)</f>
        <v>7158.0999999999995</v>
      </c>
      <c r="K100" s="160"/>
      <c r="L100" s="161">
        <f>SUM(L101:L103)</f>
        <v>7174.09</v>
      </c>
      <c r="M100" s="160"/>
      <c r="N100" s="161">
        <f>SUM(N101:N103)</f>
        <v>7201</v>
      </c>
      <c r="O100" s="160"/>
      <c r="P100" s="161">
        <f>SUM(P101:P103)</f>
        <v>7234</v>
      </c>
      <c r="Q100" s="160"/>
      <c r="R100" s="122">
        <f>SUM(R101:R103)</f>
        <v>7234</v>
      </c>
      <c r="S100" s="74"/>
      <c r="T100" s="3197">
        <f t="shared" si="320"/>
        <v>2.8246333142159852E-2</v>
      </c>
      <c r="U100" s="1480"/>
      <c r="V100" s="1479">
        <f t="shared" si="321"/>
        <v>4.582696847660047E-3</v>
      </c>
      <c r="W100" s="1480"/>
      <c r="X100" s="3198">
        <f t="shared" si="322"/>
        <v>0</v>
      </c>
    </row>
    <row r="101" spans="1:25">
      <c r="A101" s="15" t="s">
        <v>20</v>
      </c>
      <c r="B101" s="170">
        <v>1812.4</v>
      </c>
      <c r="C101" s="3068"/>
      <c r="D101" s="164">
        <v>1727.9</v>
      </c>
      <c r="E101" s="163"/>
      <c r="F101" s="164">
        <v>1768.5</v>
      </c>
      <c r="G101" s="163"/>
      <c r="H101" s="164">
        <v>1856.3</v>
      </c>
      <c r="I101" s="163"/>
      <c r="J101" s="164">
        <v>1841.7</v>
      </c>
      <c r="K101" s="163"/>
      <c r="L101" s="164">
        <v>1803.17</v>
      </c>
      <c r="M101" s="163"/>
      <c r="N101" s="164">
        <v>1830</v>
      </c>
      <c r="O101" s="163"/>
      <c r="P101" s="168">
        <v>1830</v>
      </c>
      <c r="Q101" s="163"/>
      <c r="R101" s="169">
        <v>1830</v>
      </c>
      <c r="S101" s="74"/>
      <c r="T101" s="3191">
        <f>(((N101/B101)^(1/6)-1))</f>
        <v>1.611970002871832E-3</v>
      </c>
      <c r="U101" s="77"/>
      <c r="V101" s="78">
        <f t="shared" si="321"/>
        <v>0</v>
      </c>
      <c r="W101" s="77"/>
      <c r="X101" s="3192">
        <f t="shared" si="322"/>
        <v>0</v>
      </c>
    </row>
    <row r="102" spans="1:25">
      <c r="A102" s="15" t="s">
        <v>17</v>
      </c>
      <c r="B102" s="170">
        <v>4280.3</v>
      </c>
      <c r="C102" s="3068"/>
      <c r="D102" s="164">
        <v>4461.5</v>
      </c>
      <c r="E102" s="163"/>
      <c r="F102" s="164">
        <v>4493</v>
      </c>
      <c r="G102" s="163"/>
      <c r="H102" s="164">
        <v>5040.2</v>
      </c>
      <c r="I102" s="163"/>
      <c r="J102" s="164">
        <v>5316.4</v>
      </c>
      <c r="K102" s="163"/>
      <c r="L102" s="164">
        <v>5370.92</v>
      </c>
      <c r="M102" s="163"/>
      <c r="N102" s="164">
        <v>5371</v>
      </c>
      <c r="O102" s="163"/>
      <c r="P102" s="168">
        <v>5404</v>
      </c>
      <c r="Q102" s="163"/>
      <c r="R102" s="169">
        <v>5404</v>
      </c>
      <c r="S102" s="74"/>
      <c r="T102" s="3191">
        <f t="shared" ref="T102:T106" si="323">(((N102/B102)^(1/6)-1))</f>
        <v>3.8556569384072814E-2</v>
      </c>
      <c r="U102" s="77"/>
      <c r="V102" s="78">
        <f t="shared" si="321"/>
        <v>6.1441072425991432E-3</v>
      </c>
      <c r="W102" s="77"/>
      <c r="X102" s="3192">
        <f t="shared" si="322"/>
        <v>0</v>
      </c>
    </row>
    <row r="103" spans="1:25">
      <c r="A103" s="15" t="s">
        <v>154</v>
      </c>
      <c r="B103" s="170">
        <v>0</v>
      </c>
      <c r="C103" s="3068"/>
      <c r="D103" s="164">
        <v>0</v>
      </c>
      <c r="E103" s="163"/>
      <c r="F103" s="164">
        <v>0</v>
      </c>
      <c r="G103" s="163"/>
      <c r="H103" s="164">
        <v>0</v>
      </c>
      <c r="I103" s="163"/>
      <c r="J103" s="164">
        <v>0</v>
      </c>
      <c r="K103" s="163"/>
      <c r="L103" s="164">
        <v>0</v>
      </c>
      <c r="M103" s="163"/>
      <c r="N103" s="164">
        <v>0</v>
      </c>
      <c r="O103" s="163"/>
      <c r="P103" s="168">
        <v>0</v>
      </c>
      <c r="Q103" s="163"/>
      <c r="R103" s="169">
        <v>0</v>
      </c>
      <c r="S103" s="74"/>
      <c r="T103" s="3191"/>
      <c r="U103" s="77"/>
      <c r="V103" s="78"/>
      <c r="W103" s="77"/>
      <c r="X103" s="3192"/>
    </row>
    <row r="104" spans="1:25">
      <c r="A104" s="18" t="s">
        <v>22</v>
      </c>
      <c r="B104" s="159">
        <f>SUM(B105:B107)</f>
        <v>1267.0999999999999</v>
      </c>
      <c r="C104" s="3065"/>
      <c r="D104" s="161">
        <f>SUM(D105:D107)</f>
        <v>1249.0999999999999</v>
      </c>
      <c r="E104" s="160"/>
      <c r="F104" s="161">
        <f>SUM(F105:F107)</f>
        <v>1216.9000000000001</v>
      </c>
      <c r="G104" s="160"/>
      <c r="H104" s="161">
        <f>SUM(H105:H107)</f>
        <v>1251.4000000000001</v>
      </c>
      <c r="I104" s="160"/>
      <c r="J104" s="161">
        <f>SUM(J105:J107)</f>
        <v>1357</v>
      </c>
      <c r="K104" s="160"/>
      <c r="L104" s="161">
        <f>SUM(L105:L107)</f>
        <v>1345.19</v>
      </c>
      <c r="M104" s="160"/>
      <c r="N104" s="161">
        <f>SUM(N105:N107)</f>
        <v>1376</v>
      </c>
      <c r="O104" s="160"/>
      <c r="P104" s="161">
        <f>SUM(P105:P107)</f>
        <v>1395</v>
      </c>
      <c r="Q104" s="160"/>
      <c r="R104" s="122">
        <f>SUM(R105:R107)</f>
        <v>1395</v>
      </c>
      <c r="S104" s="74"/>
      <c r="T104" s="3197">
        <f t="shared" si="323"/>
        <v>1.3836502923515237E-2</v>
      </c>
      <c r="U104" s="1480"/>
      <c r="V104" s="1479">
        <f t="shared" si="321"/>
        <v>1.3808139534883721E-2</v>
      </c>
      <c r="W104" s="1480"/>
      <c r="X104" s="3198">
        <f t="shared" si="322"/>
        <v>0</v>
      </c>
    </row>
    <row r="105" spans="1:25">
      <c r="A105" s="15" t="s">
        <v>20</v>
      </c>
      <c r="B105" s="171">
        <v>566.5</v>
      </c>
      <c r="C105" s="3068"/>
      <c r="D105" s="172">
        <v>548.6</v>
      </c>
      <c r="E105" s="163"/>
      <c r="F105" s="172">
        <v>551.20000000000005</v>
      </c>
      <c r="G105" s="163"/>
      <c r="H105" s="172">
        <v>527.5</v>
      </c>
      <c r="I105" s="163"/>
      <c r="J105" s="172">
        <v>534.4</v>
      </c>
      <c r="K105" s="163"/>
      <c r="L105" s="164">
        <v>491.38</v>
      </c>
      <c r="M105" s="163"/>
      <c r="N105" s="164">
        <v>493</v>
      </c>
      <c r="O105" s="163"/>
      <c r="P105" s="168">
        <v>504</v>
      </c>
      <c r="Q105" s="163"/>
      <c r="R105" s="169">
        <v>504</v>
      </c>
      <c r="S105" s="74"/>
      <c r="T105" s="3191">
        <f t="shared" si="323"/>
        <v>-2.2895153284440695E-2</v>
      </c>
      <c r="U105" s="77"/>
      <c r="V105" s="78">
        <f t="shared" si="321"/>
        <v>2.231237322515213E-2</v>
      </c>
      <c r="W105" s="77"/>
      <c r="X105" s="3192">
        <f t="shared" si="322"/>
        <v>0</v>
      </c>
    </row>
    <row r="106" spans="1:25">
      <c r="A106" s="15" t="s">
        <v>17</v>
      </c>
      <c r="B106" s="171">
        <v>700.6</v>
      </c>
      <c r="C106" s="3068"/>
      <c r="D106" s="172">
        <v>700.5</v>
      </c>
      <c r="E106" s="163"/>
      <c r="F106" s="172">
        <v>665.7</v>
      </c>
      <c r="G106" s="163"/>
      <c r="H106" s="172">
        <v>723.9</v>
      </c>
      <c r="I106" s="163"/>
      <c r="J106" s="172">
        <v>822.6</v>
      </c>
      <c r="K106" s="163"/>
      <c r="L106" s="164">
        <v>853.81</v>
      </c>
      <c r="M106" s="163"/>
      <c r="N106" s="164">
        <v>883</v>
      </c>
      <c r="O106" s="163"/>
      <c r="P106" s="168">
        <v>891</v>
      </c>
      <c r="Q106" s="163"/>
      <c r="R106" s="169">
        <v>891</v>
      </c>
      <c r="S106" s="74"/>
      <c r="T106" s="3191">
        <f t="shared" si="323"/>
        <v>3.9317950973575932E-2</v>
      </c>
      <c r="U106" s="77"/>
      <c r="V106" s="78">
        <f t="shared" si="321"/>
        <v>9.0600226500566258E-3</v>
      </c>
      <c r="W106" s="77"/>
      <c r="X106" s="3192">
        <f t="shared" si="322"/>
        <v>0</v>
      </c>
    </row>
    <row r="107" spans="1:25" ht="13.8" thickBot="1">
      <c r="A107" s="102" t="s">
        <v>154</v>
      </c>
      <c r="B107" s="173">
        <v>0</v>
      </c>
      <c r="C107" s="3071"/>
      <c r="D107" s="174">
        <v>0</v>
      </c>
      <c r="E107" s="165"/>
      <c r="F107" s="174">
        <v>0</v>
      </c>
      <c r="G107" s="165"/>
      <c r="H107" s="174">
        <v>0</v>
      </c>
      <c r="I107" s="165"/>
      <c r="J107" s="174">
        <v>0</v>
      </c>
      <c r="K107" s="165"/>
      <c r="L107" s="166">
        <v>0</v>
      </c>
      <c r="M107" s="165"/>
      <c r="N107" s="166">
        <v>0</v>
      </c>
      <c r="O107" s="165"/>
      <c r="P107" s="175">
        <v>0</v>
      </c>
      <c r="Q107" s="165"/>
      <c r="R107" s="176">
        <v>0</v>
      </c>
      <c r="S107" s="81"/>
      <c r="T107" s="3193"/>
      <c r="U107" s="3194"/>
      <c r="V107" s="3195"/>
      <c r="W107" s="3194"/>
      <c r="X107" s="3196"/>
    </row>
    <row r="108" spans="1:25" ht="13.8" thickTop="1">
      <c r="A108" s="13" t="s">
        <v>25</v>
      </c>
      <c r="B108" s="123">
        <f>B96+B100+B104</f>
        <v>37410.499999999993</v>
      </c>
      <c r="C108" s="124"/>
      <c r="D108" s="167">
        <f>D96+D100+D104</f>
        <v>38083.4</v>
      </c>
      <c r="E108" s="124"/>
      <c r="F108" s="167">
        <f>F96+F100+F104</f>
        <v>39388</v>
      </c>
      <c r="G108" s="124"/>
      <c r="H108" s="167">
        <f>H96+H100+H104</f>
        <v>40827.1</v>
      </c>
      <c r="I108" s="124"/>
      <c r="J108" s="167">
        <f>J96+J100+J104</f>
        <v>41048.5</v>
      </c>
      <c r="K108" s="124"/>
      <c r="L108" s="167">
        <f>L96+L100+L104</f>
        <v>41178.83</v>
      </c>
      <c r="M108" s="124"/>
      <c r="N108" s="167">
        <f>N96+N100+N104</f>
        <v>41237</v>
      </c>
      <c r="O108" s="124"/>
      <c r="P108" s="161">
        <f>P96+P100+P104</f>
        <v>41289</v>
      </c>
      <c r="Q108" s="124"/>
      <c r="R108" s="122">
        <f>R96+R100+R104</f>
        <v>41289</v>
      </c>
      <c r="S108" s="124"/>
      <c r="T108" s="3197">
        <f t="shared" ref="T108" si="324">(((N108/B108)^(1/6)-1))</f>
        <v>1.6363183801116676E-2</v>
      </c>
      <c r="U108" s="1480"/>
      <c r="V108" s="1479">
        <f t="shared" ref="V108" si="325">(P108-N108)/N108</f>
        <v>1.2610034677595363E-3</v>
      </c>
      <c r="W108" s="1480"/>
      <c r="X108" s="3198">
        <f t="shared" ref="X108" si="326">(R108-P108)/P108</f>
        <v>0</v>
      </c>
    </row>
    <row r="109" spans="1:25" ht="8.25" customHeight="1" thickBot="1">
      <c r="A109" s="58"/>
      <c r="B109" s="126"/>
      <c r="C109" s="3068"/>
      <c r="D109" s="74"/>
      <c r="E109" s="74"/>
      <c r="F109" s="74"/>
      <c r="G109" s="74"/>
      <c r="H109" s="74"/>
      <c r="I109" s="74"/>
      <c r="J109" s="74"/>
      <c r="K109" s="74"/>
      <c r="L109" s="74"/>
      <c r="M109" s="74"/>
      <c r="N109" s="74"/>
      <c r="O109" s="74"/>
      <c r="P109" s="72"/>
      <c r="Q109" s="74"/>
      <c r="R109" s="127"/>
      <c r="S109" s="74"/>
      <c r="T109" s="84"/>
      <c r="U109" s="34"/>
      <c r="V109" s="34"/>
      <c r="W109" s="34"/>
      <c r="X109" s="42"/>
    </row>
    <row r="110" spans="1:25">
      <c r="A110" s="51" t="s">
        <v>78</v>
      </c>
      <c r="B110" s="115"/>
      <c r="C110" s="3073"/>
      <c r="D110" s="116"/>
      <c r="E110" s="83"/>
      <c r="F110" s="116"/>
      <c r="G110" s="83"/>
      <c r="H110" s="117"/>
      <c r="I110" s="83"/>
      <c r="J110" s="117"/>
      <c r="K110" s="83"/>
      <c r="L110" s="117"/>
      <c r="M110" s="83"/>
      <c r="N110" s="117"/>
      <c r="O110" s="83"/>
      <c r="P110" s="118"/>
      <c r="Q110" s="83"/>
      <c r="R110" s="119"/>
      <c r="S110" s="83"/>
      <c r="T110" s="86"/>
      <c r="U110" s="45"/>
      <c r="V110" s="47"/>
      <c r="W110" s="45"/>
      <c r="X110" s="85"/>
    </row>
    <row r="111" spans="1:25">
      <c r="A111" s="18" t="s">
        <v>79</v>
      </c>
      <c r="B111" s="177">
        <v>1478</v>
      </c>
      <c r="C111" s="3084"/>
      <c r="D111" s="217">
        <v>1910</v>
      </c>
      <c r="E111" s="216"/>
      <c r="F111" s="217">
        <v>2166</v>
      </c>
      <c r="G111" s="216"/>
      <c r="H111" s="218">
        <v>2450</v>
      </c>
      <c r="I111" s="216"/>
      <c r="J111" s="218">
        <v>2757</v>
      </c>
      <c r="K111" s="182"/>
      <c r="L111" s="218">
        <v>3745</v>
      </c>
      <c r="M111" s="72"/>
      <c r="N111" s="218">
        <v>3745</v>
      </c>
      <c r="O111" s="72"/>
      <c r="P111" s="218">
        <v>3745</v>
      </c>
      <c r="Q111" s="72"/>
      <c r="R111" s="218">
        <v>3745</v>
      </c>
      <c r="S111" s="72"/>
      <c r="T111" s="3191">
        <f t="shared" ref="T111:T112" si="327">(((N111/B111)^(1/6)-1))</f>
        <v>0.1676057668794253</v>
      </c>
      <c r="U111" s="77"/>
      <c r="V111" s="78">
        <f t="shared" ref="V111:V112" si="328">(P111-N111)/N111</f>
        <v>0</v>
      </c>
      <c r="W111" s="77"/>
      <c r="X111" s="3192">
        <f t="shared" ref="X111:X112" si="329">(R111-P111)/P111</f>
        <v>0</v>
      </c>
    </row>
    <row r="112" spans="1:25" ht="13.8" thickBot="1">
      <c r="A112" s="24" t="s">
        <v>80</v>
      </c>
      <c r="B112" s="219">
        <v>238</v>
      </c>
      <c r="C112" s="220"/>
      <c r="D112" s="221">
        <v>304.39999999999998</v>
      </c>
      <c r="E112" s="220"/>
      <c r="F112" s="221">
        <v>357.9</v>
      </c>
      <c r="G112" s="220"/>
      <c r="H112" s="222">
        <v>404.4</v>
      </c>
      <c r="I112" s="220"/>
      <c r="J112" s="222">
        <v>466.9</v>
      </c>
      <c r="K112" s="97"/>
      <c r="L112" s="222">
        <v>639</v>
      </c>
      <c r="M112" s="97"/>
      <c r="N112" s="222">
        <v>639</v>
      </c>
      <c r="O112" s="97"/>
      <c r="P112" s="222">
        <v>639</v>
      </c>
      <c r="Q112" s="97"/>
      <c r="R112" s="222">
        <v>639</v>
      </c>
      <c r="S112" s="97"/>
      <c r="T112" s="3191">
        <f t="shared" si="327"/>
        <v>0.17892809328798909</v>
      </c>
      <c r="U112" s="77"/>
      <c r="V112" s="78">
        <f t="shared" si="328"/>
        <v>0</v>
      </c>
      <c r="W112" s="77"/>
      <c r="X112" s="3192">
        <f t="shared" si="329"/>
        <v>0</v>
      </c>
      <c r="Y112" s="3259"/>
    </row>
    <row r="113" spans="1:24" s="178" customFormat="1" ht="13.8" thickBot="1">
      <c r="A113" s="111"/>
      <c r="B113" s="112"/>
      <c r="C113" s="112"/>
      <c r="D113" s="112"/>
      <c r="E113" s="112"/>
      <c r="F113" s="113"/>
      <c r="G113" s="112"/>
      <c r="H113" s="112"/>
      <c r="I113" s="112"/>
      <c r="J113" s="112"/>
      <c r="K113" s="112"/>
      <c r="L113" s="112"/>
      <c r="M113" s="112"/>
      <c r="N113" s="112"/>
      <c r="O113" s="112"/>
      <c r="P113" s="112"/>
      <c r="Q113" s="112"/>
      <c r="R113" s="112"/>
      <c r="S113" s="112"/>
      <c r="T113" s="112"/>
      <c r="U113" s="112"/>
      <c r="V113" s="112"/>
      <c r="W113" s="112"/>
      <c r="X113" s="112"/>
    </row>
    <row r="114" spans="1:24" s="179" customFormat="1">
      <c r="A114" s="114" t="s">
        <v>174</v>
      </c>
      <c r="B114" s="188" t="s">
        <v>13</v>
      </c>
      <c r="C114" s="3051"/>
      <c r="D114" s="190" t="s">
        <v>13</v>
      </c>
      <c r="E114" s="189"/>
      <c r="F114" s="191" t="s">
        <v>13</v>
      </c>
      <c r="G114" s="189"/>
      <c r="H114" s="191" t="s">
        <v>13</v>
      </c>
      <c r="I114" s="189"/>
      <c r="J114" s="191" t="s">
        <v>13</v>
      </c>
      <c r="K114" s="189"/>
      <c r="L114" s="192" t="s">
        <v>14</v>
      </c>
      <c r="M114" s="189"/>
      <c r="N114" s="192" t="s">
        <v>15</v>
      </c>
      <c r="O114" s="189"/>
      <c r="P114" s="193" t="s">
        <v>16</v>
      </c>
      <c r="Q114" s="189"/>
      <c r="R114" s="194" t="s">
        <v>16</v>
      </c>
      <c r="S114" s="189"/>
      <c r="T114" s="195" t="s">
        <v>62</v>
      </c>
      <c r="U114" s="196"/>
      <c r="V114" s="197" t="s">
        <v>75</v>
      </c>
      <c r="W114" s="196"/>
      <c r="X114" s="198" t="s">
        <v>75</v>
      </c>
    </row>
    <row r="115" spans="1:24" s="179" customFormat="1" ht="13.8" thickBot="1">
      <c r="A115" s="199"/>
      <c r="B115" s="200" t="s">
        <v>3</v>
      </c>
      <c r="C115" s="3053"/>
      <c r="D115" s="202" t="s">
        <v>4</v>
      </c>
      <c r="E115" s="201"/>
      <c r="F115" s="203" t="s">
        <v>5</v>
      </c>
      <c r="G115" s="201"/>
      <c r="H115" s="204" t="s">
        <v>6</v>
      </c>
      <c r="I115" s="201"/>
      <c r="J115" s="204" t="s">
        <v>7</v>
      </c>
      <c r="K115" s="201"/>
      <c r="L115" s="204" t="s">
        <v>8</v>
      </c>
      <c r="M115" s="201"/>
      <c r="N115" s="204" t="s">
        <v>9</v>
      </c>
      <c r="O115" s="201"/>
      <c r="P115" s="205" t="s">
        <v>10</v>
      </c>
      <c r="Q115" s="201"/>
      <c r="R115" s="206" t="s">
        <v>11</v>
      </c>
      <c r="S115" s="201"/>
      <c r="T115" s="207" t="s">
        <v>63</v>
      </c>
      <c r="U115" s="208"/>
      <c r="V115" s="209" t="s">
        <v>76</v>
      </c>
      <c r="W115" s="208"/>
      <c r="X115" s="210" t="s">
        <v>77</v>
      </c>
    </row>
    <row r="116" spans="1:24" s="178" customFormat="1">
      <c r="A116" s="211" t="s">
        <v>81</v>
      </c>
      <c r="B116" s="115"/>
      <c r="C116" s="3073"/>
      <c r="D116" s="116"/>
      <c r="E116" s="186"/>
      <c r="F116" s="116"/>
      <c r="G116" s="186"/>
      <c r="H116" s="117"/>
      <c r="I116" s="186"/>
      <c r="J116" s="117"/>
      <c r="K116" s="186"/>
      <c r="L116" s="117"/>
      <c r="M116" s="186"/>
      <c r="N116" s="117"/>
      <c r="O116" s="186"/>
      <c r="P116" s="118"/>
      <c r="Q116" s="186"/>
      <c r="R116" s="119"/>
      <c r="S116" s="186"/>
      <c r="T116" s="120"/>
      <c r="U116" s="186"/>
      <c r="V116" s="117"/>
      <c r="W116" s="186"/>
      <c r="X116" s="121"/>
    </row>
    <row r="117" spans="1:24" s="178" customFormat="1">
      <c r="A117" s="180" t="s">
        <v>19</v>
      </c>
      <c r="B117" s="181">
        <f>SUM(B118:B120)</f>
        <v>3082</v>
      </c>
      <c r="C117" s="3065"/>
      <c r="D117" s="183">
        <f>SUM(D118:D120)</f>
        <v>3109</v>
      </c>
      <c r="E117" s="182"/>
      <c r="F117" s="183">
        <f>SUM(F118:F120)</f>
        <v>3400</v>
      </c>
      <c r="G117" s="182"/>
      <c r="H117" s="183">
        <f>SUM(H118:H120)</f>
        <v>3931</v>
      </c>
      <c r="I117" s="182"/>
      <c r="J117" s="183">
        <f>SUM(J118:J120)</f>
        <v>4475</v>
      </c>
      <c r="K117" s="182"/>
      <c r="L117" s="183">
        <f>SUM(L118:L120)</f>
        <v>4719</v>
      </c>
      <c r="M117" s="182"/>
      <c r="N117" s="183">
        <f>SUM(N118:N120)</f>
        <v>4879</v>
      </c>
      <c r="O117" s="182"/>
      <c r="P117" s="183">
        <f>SUM(P118:P120)</f>
        <v>4887</v>
      </c>
      <c r="Q117" s="182"/>
      <c r="R117" s="122">
        <f>SUM(R118:R120)</f>
        <v>4887</v>
      </c>
      <c r="S117" s="182"/>
      <c r="T117" s="3188">
        <f>(((N117/B117)^(1/6)-1))</f>
        <v>7.9567240208773482E-2</v>
      </c>
      <c r="U117" s="25"/>
      <c r="V117" s="3189">
        <f>(P117-N117)/N117</f>
        <v>1.639680262348842E-3</v>
      </c>
      <c r="W117" s="25"/>
      <c r="X117" s="3190">
        <f>(R117-P117)/P117</f>
        <v>0</v>
      </c>
    </row>
    <row r="118" spans="1:24" s="178" customFormat="1">
      <c r="A118" s="180" t="s">
        <v>20</v>
      </c>
      <c r="B118" s="226">
        <v>2714</v>
      </c>
      <c r="C118" s="1902"/>
      <c r="D118" s="228">
        <v>2695</v>
      </c>
      <c r="E118" s="227"/>
      <c r="F118" s="228">
        <v>2925</v>
      </c>
      <c r="G118" s="227"/>
      <c r="H118" s="228">
        <v>3278</v>
      </c>
      <c r="I118" s="227"/>
      <c r="J118" s="228">
        <v>3636</v>
      </c>
      <c r="K118" s="229"/>
      <c r="L118" s="231">
        <v>3806</v>
      </c>
      <c r="M118" s="227"/>
      <c r="N118" s="228">
        <v>3904</v>
      </c>
      <c r="O118" s="227"/>
      <c r="P118" s="228">
        <v>3904</v>
      </c>
      <c r="Q118" s="227"/>
      <c r="R118" s="230">
        <v>3904</v>
      </c>
      <c r="S118" s="184"/>
      <c r="T118" s="3191">
        <f t="shared" ref="T118:T121" si="330">(((N118/B118)^(1/6)-1))</f>
        <v>6.2469962883674679E-2</v>
      </c>
      <c r="U118" s="77"/>
      <c r="V118" s="78">
        <f t="shared" ref="V118:V129" si="331">(P118-N118)/N118</f>
        <v>0</v>
      </c>
      <c r="W118" s="77"/>
      <c r="X118" s="3192">
        <f t="shared" ref="X118:X129" si="332">(R118-P118)/P118</f>
        <v>0</v>
      </c>
    </row>
    <row r="119" spans="1:24" s="178" customFormat="1">
      <c r="A119" s="180" t="s">
        <v>17</v>
      </c>
      <c r="B119" s="226">
        <v>55</v>
      </c>
      <c r="C119" s="1902"/>
      <c r="D119" s="228">
        <v>94</v>
      </c>
      <c r="E119" s="227"/>
      <c r="F119" s="228">
        <v>146</v>
      </c>
      <c r="G119" s="227"/>
      <c r="H119" s="228">
        <v>254</v>
      </c>
      <c r="I119" s="227"/>
      <c r="J119" s="228">
        <v>369</v>
      </c>
      <c r="K119" s="229"/>
      <c r="L119" s="231">
        <v>376</v>
      </c>
      <c r="M119" s="227"/>
      <c r="N119" s="228">
        <v>438</v>
      </c>
      <c r="O119" s="227"/>
      <c r="P119" s="228">
        <v>438</v>
      </c>
      <c r="Q119" s="227"/>
      <c r="R119" s="230">
        <v>438</v>
      </c>
      <c r="S119" s="184"/>
      <c r="T119" s="3191">
        <f t="shared" si="330"/>
        <v>0.41314015369030299</v>
      </c>
      <c r="U119" s="77"/>
      <c r="V119" s="78">
        <f t="shared" si="331"/>
        <v>0</v>
      </c>
      <c r="W119" s="77"/>
      <c r="X119" s="3192">
        <f t="shared" si="332"/>
        <v>0</v>
      </c>
    </row>
    <row r="120" spans="1:24" s="178" customFormat="1">
      <c r="A120" s="180" t="s">
        <v>154</v>
      </c>
      <c r="B120" s="226">
        <v>313</v>
      </c>
      <c r="C120" s="1902"/>
      <c r="D120" s="228">
        <v>320</v>
      </c>
      <c r="E120" s="227"/>
      <c r="F120" s="228">
        <v>329</v>
      </c>
      <c r="G120" s="227"/>
      <c r="H120" s="228">
        <v>399</v>
      </c>
      <c r="I120" s="227"/>
      <c r="J120" s="228">
        <v>470</v>
      </c>
      <c r="K120" s="229"/>
      <c r="L120" s="231">
        <v>537</v>
      </c>
      <c r="M120" s="227"/>
      <c r="N120" s="228">
        <v>537</v>
      </c>
      <c r="O120" s="227"/>
      <c r="P120" s="228">
        <v>545</v>
      </c>
      <c r="Q120" s="227"/>
      <c r="R120" s="230">
        <v>545</v>
      </c>
      <c r="S120" s="184"/>
      <c r="T120" s="3191">
        <f t="shared" si="330"/>
        <v>9.4136882543928824E-2</v>
      </c>
      <c r="U120" s="77"/>
      <c r="V120" s="78">
        <f t="shared" si="331"/>
        <v>1.4897579143389199E-2</v>
      </c>
      <c r="W120" s="77"/>
      <c r="X120" s="3192">
        <f t="shared" si="332"/>
        <v>0</v>
      </c>
    </row>
    <row r="121" spans="1:24" s="178" customFormat="1">
      <c r="A121" s="180" t="s">
        <v>21</v>
      </c>
      <c r="B121" s="181">
        <f>SUM(B122:B124)</f>
        <v>171</v>
      </c>
      <c r="C121" s="3065"/>
      <c r="D121" s="183">
        <f>SUM(D122:D124)</f>
        <v>151</v>
      </c>
      <c r="E121" s="182"/>
      <c r="F121" s="183">
        <f>SUM(F122:F124)</f>
        <v>152</v>
      </c>
      <c r="G121" s="182"/>
      <c r="H121" s="183">
        <f>SUM(H122:H124)</f>
        <v>179</v>
      </c>
      <c r="I121" s="182"/>
      <c r="J121" s="183">
        <f>SUM(J122:J124)</f>
        <v>166</v>
      </c>
      <c r="K121" s="182"/>
      <c r="L121" s="183">
        <f>SUM(L122:L124)</f>
        <v>208</v>
      </c>
      <c r="M121" s="182"/>
      <c r="N121" s="183">
        <f>SUM(N122:N124)</f>
        <v>287</v>
      </c>
      <c r="O121" s="182"/>
      <c r="P121" s="183">
        <f>SUM(P122:P124)</f>
        <v>334</v>
      </c>
      <c r="Q121" s="182"/>
      <c r="R121" s="122">
        <f>SUM(R122:R124)</f>
        <v>334</v>
      </c>
      <c r="S121" s="184"/>
      <c r="T121" s="3197">
        <f t="shared" si="330"/>
        <v>9.0136709434701867E-2</v>
      </c>
      <c r="U121" s="1480"/>
      <c r="V121" s="1479">
        <f t="shared" si="331"/>
        <v>0.16376306620209058</v>
      </c>
      <c r="W121" s="1480"/>
      <c r="X121" s="3198">
        <f t="shared" si="332"/>
        <v>0</v>
      </c>
    </row>
    <row r="122" spans="1:24" s="178" customFormat="1">
      <c r="A122" s="180" t="s">
        <v>20</v>
      </c>
      <c r="B122" s="248">
        <v>163</v>
      </c>
      <c r="C122" s="1902"/>
      <c r="D122" s="250">
        <v>141</v>
      </c>
      <c r="E122" s="249"/>
      <c r="F122" s="250">
        <v>140</v>
      </c>
      <c r="G122" s="249"/>
      <c r="H122" s="250">
        <v>160</v>
      </c>
      <c r="I122" s="249"/>
      <c r="J122" s="250">
        <v>140</v>
      </c>
      <c r="K122" s="251"/>
      <c r="L122" s="253">
        <v>160</v>
      </c>
      <c r="M122" s="249"/>
      <c r="N122" s="250">
        <v>239</v>
      </c>
      <c r="O122" s="249"/>
      <c r="P122" s="250">
        <v>277</v>
      </c>
      <c r="Q122" s="249"/>
      <c r="R122" s="252">
        <v>277</v>
      </c>
      <c r="S122" s="184"/>
      <c r="T122" s="3191">
        <f>(((N122/B122)^(1/6)-1))</f>
        <v>6.5863808840998184E-2</v>
      </c>
      <c r="U122" s="77"/>
      <c r="V122" s="78">
        <f t="shared" si="331"/>
        <v>0.15899581589958159</v>
      </c>
      <c r="W122" s="77"/>
      <c r="X122" s="3192">
        <f t="shared" si="332"/>
        <v>0</v>
      </c>
    </row>
    <row r="123" spans="1:24" s="178" customFormat="1">
      <c r="A123" s="180" t="s">
        <v>17</v>
      </c>
      <c r="B123" s="248">
        <v>0</v>
      </c>
      <c r="C123" s="1902"/>
      <c r="D123" s="250">
        <v>5</v>
      </c>
      <c r="E123" s="249"/>
      <c r="F123" s="250">
        <v>5</v>
      </c>
      <c r="G123" s="249"/>
      <c r="H123" s="250">
        <v>1</v>
      </c>
      <c r="I123" s="249"/>
      <c r="J123" s="250">
        <v>9</v>
      </c>
      <c r="K123" s="251"/>
      <c r="L123" s="253">
        <v>26</v>
      </c>
      <c r="M123" s="249"/>
      <c r="N123" s="250">
        <v>25</v>
      </c>
      <c r="O123" s="249"/>
      <c r="P123" s="250">
        <v>32</v>
      </c>
      <c r="Q123" s="249"/>
      <c r="R123" s="252">
        <v>32</v>
      </c>
      <c r="S123" s="184"/>
      <c r="T123" s="3191" t="e">
        <f t="shared" ref="T123:T124" si="333">(((N123/B123)^(1/6)-1))</f>
        <v>#DIV/0!</v>
      </c>
      <c r="U123" s="77"/>
      <c r="V123" s="78">
        <f t="shared" si="331"/>
        <v>0.28000000000000003</v>
      </c>
      <c r="W123" s="77"/>
      <c r="X123" s="3192">
        <f t="shared" si="332"/>
        <v>0</v>
      </c>
    </row>
    <row r="124" spans="1:24" s="178" customFormat="1">
      <c r="A124" s="180" t="s">
        <v>154</v>
      </c>
      <c r="B124" s="248">
        <v>8</v>
      </c>
      <c r="C124" s="1902"/>
      <c r="D124" s="250">
        <v>5</v>
      </c>
      <c r="E124" s="249"/>
      <c r="F124" s="250">
        <v>7</v>
      </c>
      <c r="G124" s="249"/>
      <c r="H124" s="250">
        <v>18</v>
      </c>
      <c r="I124" s="249"/>
      <c r="J124" s="250">
        <v>17</v>
      </c>
      <c r="K124" s="251"/>
      <c r="L124" s="253">
        <v>22</v>
      </c>
      <c r="M124" s="249"/>
      <c r="N124" s="250">
        <v>23</v>
      </c>
      <c r="O124" s="249"/>
      <c r="P124" s="250">
        <v>25</v>
      </c>
      <c r="Q124" s="249"/>
      <c r="R124" s="252">
        <v>25</v>
      </c>
      <c r="S124" s="184"/>
      <c r="T124" s="3191">
        <f t="shared" si="333"/>
        <v>0.19244852715988658</v>
      </c>
      <c r="U124" s="77"/>
      <c r="V124" s="78">
        <f t="shared" si="331"/>
        <v>8.6956521739130432E-2</v>
      </c>
      <c r="W124" s="77"/>
      <c r="X124" s="3192">
        <f t="shared" si="332"/>
        <v>0</v>
      </c>
    </row>
    <row r="125" spans="1:24" s="178" customFormat="1">
      <c r="A125" s="212" t="s">
        <v>22</v>
      </c>
      <c r="B125" s="181">
        <f>SUM(B126:B128)</f>
        <v>0</v>
      </c>
      <c r="C125" s="3065"/>
      <c r="D125" s="183">
        <f>SUM(D126:D128)</f>
        <v>0</v>
      </c>
      <c r="E125" s="182"/>
      <c r="F125" s="183">
        <f>SUM(F126:F128)</f>
        <v>0</v>
      </c>
      <c r="G125" s="182"/>
      <c r="H125" s="183">
        <f>SUM(H126:H128)</f>
        <v>0</v>
      </c>
      <c r="I125" s="182"/>
      <c r="J125" s="183">
        <f>SUM(J126:J128)</f>
        <v>0</v>
      </c>
      <c r="K125" s="182"/>
      <c r="L125" s="183">
        <f>SUM(L126:L128)</f>
        <v>0</v>
      </c>
      <c r="M125" s="182"/>
      <c r="N125" s="183">
        <f>SUM(N126:N128)</f>
        <v>0</v>
      </c>
      <c r="O125" s="182"/>
      <c r="P125" s="183">
        <f>SUM(P126:P128)</f>
        <v>0</v>
      </c>
      <c r="Q125" s="182"/>
      <c r="R125" s="122">
        <f>SUM(R126:R128)</f>
        <v>0</v>
      </c>
      <c r="S125" s="184"/>
      <c r="T125" s="3197">
        <v>0</v>
      </c>
      <c r="U125" s="1480"/>
      <c r="V125" s="1479">
        <v>0</v>
      </c>
      <c r="W125" s="1480"/>
      <c r="X125" s="3198">
        <v>0</v>
      </c>
    </row>
    <row r="126" spans="1:24" s="178" customFormat="1">
      <c r="A126" s="180" t="s">
        <v>20</v>
      </c>
      <c r="B126" s="237">
        <v>0</v>
      </c>
      <c r="C126" s="1902"/>
      <c r="D126" s="238">
        <v>0</v>
      </c>
      <c r="E126" s="232"/>
      <c r="F126" s="238">
        <v>0</v>
      </c>
      <c r="G126" s="232"/>
      <c r="H126" s="238">
        <v>0</v>
      </c>
      <c r="I126" s="232"/>
      <c r="J126" s="238">
        <v>0</v>
      </c>
      <c r="K126" s="234"/>
      <c r="L126" s="246">
        <v>0</v>
      </c>
      <c r="M126" s="232"/>
      <c r="N126" s="233">
        <v>0</v>
      </c>
      <c r="O126" s="232"/>
      <c r="P126" s="236">
        <v>0</v>
      </c>
      <c r="Q126" s="232"/>
      <c r="R126" s="235">
        <v>0</v>
      </c>
      <c r="S126" s="184"/>
      <c r="T126" s="3191"/>
      <c r="U126" s="77"/>
      <c r="V126" s="78"/>
      <c r="W126" s="77"/>
      <c r="X126" s="3192"/>
    </row>
    <row r="127" spans="1:24" s="178" customFormat="1">
      <c r="A127" s="180" t="s">
        <v>17</v>
      </c>
      <c r="B127" s="237">
        <v>0</v>
      </c>
      <c r="C127" s="1902"/>
      <c r="D127" s="238">
        <v>0</v>
      </c>
      <c r="E127" s="232"/>
      <c r="F127" s="238">
        <v>0</v>
      </c>
      <c r="G127" s="232"/>
      <c r="H127" s="238">
        <v>0</v>
      </c>
      <c r="I127" s="232"/>
      <c r="J127" s="238">
        <v>0</v>
      </c>
      <c r="K127" s="234"/>
      <c r="L127" s="246">
        <v>0</v>
      </c>
      <c r="M127" s="232"/>
      <c r="N127" s="233">
        <v>0</v>
      </c>
      <c r="O127" s="232"/>
      <c r="P127" s="236">
        <v>0</v>
      </c>
      <c r="Q127" s="232"/>
      <c r="R127" s="235">
        <v>0</v>
      </c>
      <c r="S127" s="184"/>
      <c r="T127" s="3191"/>
      <c r="U127" s="77"/>
      <c r="V127" s="78"/>
      <c r="W127" s="77"/>
      <c r="X127" s="3192"/>
    </row>
    <row r="128" spans="1:24" s="178" customFormat="1" ht="13.8" thickBot="1">
      <c r="A128" s="102" t="s">
        <v>154</v>
      </c>
      <c r="B128" s="239">
        <v>0</v>
      </c>
      <c r="C128" s="1909"/>
      <c r="D128" s="241">
        <v>0</v>
      </c>
      <c r="E128" s="240"/>
      <c r="F128" s="241">
        <v>0</v>
      </c>
      <c r="G128" s="240"/>
      <c r="H128" s="241">
        <v>0</v>
      </c>
      <c r="I128" s="240"/>
      <c r="J128" s="241">
        <v>0</v>
      </c>
      <c r="K128" s="242"/>
      <c r="L128" s="247">
        <v>0</v>
      </c>
      <c r="M128" s="240"/>
      <c r="N128" s="243">
        <v>0</v>
      </c>
      <c r="O128" s="240"/>
      <c r="P128" s="244">
        <v>0</v>
      </c>
      <c r="Q128" s="240"/>
      <c r="R128" s="245">
        <v>0</v>
      </c>
      <c r="S128" s="185"/>
      <c r="T128" s="3193"/>
      <c r="U128" s="3194"/>
      <c r="V128" s="3195"/>
      <c r="W128" s="3194"/>
      <c r="X128" s="3196"/>
    </row>
    <row r="129" spans="1:24" s="178" customFormat="1" ht="13.8" thickTop="1">
      <c r="A129" s="214" t="s">
        <v>23</v>
      </c>
      <c r="B129" s="123">
        <f>B117+B121+B125</f>
        <v>3253</v>
      </c>
      <c r="C129" s="124"/>
      <c r="D129" s="187">
        <f>D117+D121+D125</f>
        <v>3260</v>
      </c>
      <c r="E129" s="124"/>
      <c r="F129" s="187">
        <f>F117+F121+F125</f>
        <v>3552</v>
      </c>
      <c r="G129" s="124"/>
      <c r="H129" s="187">
        <f>H117+H121+H125</f>
        <v>4110</v>
      </c>
      <c r="I129" s="124"/>
      <c r="J129" s="187">
        <f>J117+J121+J125</f>
        <v>4641</v>
      </c>
      <c r="K129" s="124"/>
      <c r="L129" s="187">
        <f>L117+L121+L125</f>
        <v>4927</v>
      </c>
      <c r="M129" s="124"/>
      <c r="N129" s="187">
        <f>N117+N121+N125</f>
        <v>5166</v>
      </c>
      <c r="O129" s="124"/>
      <c r="P129" s="183">
        <f>P117+P121+P125</f>
        <v>5221</v>
      </c>
      <c r="Q129" s="124"/>
      <c r="R129" s="122">
        <f>R117+R121+R125</f>
        <v>5221</v>
      </c>
      <c r="S129" s="124"/>
      <c r="T129" s="3197">
        <f t="shared" ref="T129" si="334">(((N129/B129)^(1/6)-1))</f>
        <v>8.0135872612031811E-2</v>
      </c>
      <c r="U129" s="1480"/>
      <c r="V129" s="1479">
        <f t="shared" si="331"/>
        <v>1.064653503677894E-2</v>
      </c>
      <c r="W129" s="1480"/>
      <c r="X129" s="3198">
        <f t="shared" si="332"/>
        <v>0</v>
      </c>
    </row>
    <row r="130" spans="1:24" s="178" customFormat="1" ht="8.25" customHeight="1" thickBot="1">
      <c r="A130" s="213"/>
      <c r="B130" s="126"/>
      <c r="C130" s="3068"/>
      <c r="D130" s="184"/>
      <c r="E130" s="184"/>
      <c r="F130" s="184"/>
      <c r="G130" s="184"/>
      <c r="H130" s="184"/>
      <c r="I130" s="184"/>
      <c r="J130" s="184"/>
      <c r="K130" s="184"/>
      <c r="L130" s="184"/>
      <c r="M130" s="184"/>
      <c r="N130" s="184"/>
      <c r="O130" s="184"/>
      <c r="P130" s="182"/>
      <c r="Q130" s="184"/>
      <c r="R130" s="127"/>
      <c r="S130" s="184"/>
      <c r="T130" s="84"/>
      <c r="U130" s="34"/>
      <c r="V130" s="34"/>
      <c r="W130" s="34"/>
      <c r="X130" s="42"/>
    </row>
    <row r="131" spans="1:24" s="178" customFormat="1">
      <c r="A131" s="211" t="s">
        <v>24</v>
      </c>
      <c r="B131" s="115"/>
      <c r="C131" s="3073"/>
      <c r="D131" s="116"/>
      <c r="E131" s="186"/>
      <c r="F131" s="116"/>
      <c r="G131" s="186"/>
      <c r="H131" s="117"/>
      <c r="I131" s="186"/>
      <c r="J131" s="117"/>
      <c r="K131" s="186"/>
      <c r="L131" s="117"/>
      <c r="M131" s="186"/>
      <c r="N131" s="117"/>
      <c r="O131" s="186"/>
      <c r="P131" s="118"/>
      <c r="Q131" s="186"/>
      <c r="R131" s="119"/>
      <c r="S131" s="186"/>
      <c r="T131" s="86"/>
      <c r="U131" s="45"/>
      <c r="V131" s="47"/>
      <c r="W131" s="45"/>
      <c r="X131" s="85"/>
    </row>
    <row r="132" spans="1:24" s="178" customFormat="1">
      <c r="A132" s="180" t="s">
        <v>19</v>
      </c>
      <c r="B132" s="181">
        <f>SUM(B133:B135)</f>
        <v>1597.4</v>
      </c>
      <c r="C132" s="3065"/>
      <c r="D132" s="183">
        <f>SUM(D133:D135)</f>
        <v>1621.9</v>
      </c>
      <c r="E132" s="182"/>
      <c r="F132" s="183">
        <f>SUM(F133:F135)</f>
        <v>1800.4</v>
      </c>
      <c r="G132" s="182"/>
      <c r="H132" s="183">
        <f>SUM(H133:H135)</f>
        <v>2111.7000000000003</v>
      </c>
      <c r="I132" s="182"/>
      <c r="J132" s="183">
        <f>SUM(J133:J135)</f>
        <v>2363.3000000000002</v>
      </c>
      <c r="K132" s="182"/>
      <c r="L132" s="183">
        <f>SUM(L133:L135)</f>
        <v>2609.59</v>
      </c>
      <c r="M132" s="182"/>
      <c r="N132" s="183">
        <f>SUM(N133:N135)</f>
        <v>2688</v>
      </c>
      <c r="O132" s="182"/>
      <c r="P132" s="183">
        <f>SUM(P133:P135)</f>
        <v>2693</v>
      </c>
      <c r="Q132" s="182"/>
      <c r="R132" s="122">
        <f>SUM(R133:R135)</f>
        <v>2693</v>
      </c>
      <c r="S132" s="182"/>
      <c r="T132" s="3188">
        <f>(((N132/B132)^(1/6)-1))</f>
        <v>9.0609469012163268E-2</v>
      </c>
      <c r="U132" s="25"/>
      <c r="V132" s="3189">
        <f>(P132-N132)/N132</f>
        <v>1.8601190476190475E-3</v>
      </c>
      <c r="W132" s="25"/>
      <c r="X132" s="3190">
        <f>(R132-P132)/P132</f>
        <v>0</v>
      </c>
    </row>
    <row r="133" spans="1:24" s="178" customFormat="1">
      <c r="A133" s="180" t="s">
        <v>20</v>
      </c>
      <c r="B133" s="254">
        <v>1373.2</v>
      </c>
      <c r="C133" s="1916"/>
      <c r="D133" s="256">
        <v>1399</v>
      </c>
      <c r="E133" s="255"/>
      <c r="F133" s="256">
        <v>1534.8</v>
      </c>
      <c r="G133" s="255"/>
      <c r="H133" s="256">
        <v>1783.7</v>
      </c>
      <c r="I133" s="255"/>
      <c r="J133" s="256">
        <v>1947.4</v>
      </c>
      <c r="K133" s="255"/>
      <c r="L133" s="256">
        <v>2131.9299999999998</v>
      </c>
      <c r="M133" s="255"/>
      <c r="N133" s="256">
        <v>2187</v>
      </c>
      <c r="O133" s="255"/>
      <c r="P133" s="257">
        <v>2187</v>
      </c>
      <c r="Q133" s="255"/>
      <c r="R133" s="258">
        <v>2187</v>
      </c>
      <c r="S133" s="184"/>
      <c r="T133" s="3191">
        <f t="shared" ref="T133:T136" si="335">(((N133/B133)^(1/6)-1))</f>
        <v>8.065192489268469E-2</v>
      </c>
      <c r="U133" s="77"/>
      <c r="V133" s="78">
        <f t="shared" ref="V133:V139" si="336">(P133-N133)/N133</f>
        <v>0</v>
      </c>
      <c r="W133" s="77"/>
      <c r="X133" s="3192">
        <f t="shared" ref="X133:X139" si="337">(R133-P133)/P133</f>
        <v>0</v>
      </c>
    </row>
    <row r="134" spans="1:24" s="178" customFormat="1">
      <c r="A134" s="180" t="s">
        <v>17</v>
      </c>
      <c r="B134" s="254">
        <v>14.3</v>
      </c>
      <c r="C134" s="1916"/>
      <c r="D134" s="256">
        <v>30.4</v>
      </c>
      <c r="E134" s="255"/>
      <c r="F134" s="256">
        <v>53.7</v>
      </c>
      <c r="G134" s="255"/>
      <c r="H134" s="256">
        <v>79.400000000000006</v>
      </c>
      <c r="I134" s="255"/>
      <c r="J134" s="256">
        <v>114.8</v>
      </c>
      <c r="K134" s="255"/>
      <c r="L134" s="256">
        <v>142.63</v>
      </c>
      <c r="M134" s="255"/>
      <c r="N134" s="256">
        <v>166</v>
      </c>
      <c r="O134" s="255"/>
      <c r="P134" s="257">
        <v>166</v>
      </c>
      <c r="Q134" s="255"/>
      <c r="R134" s="258">
        <v>166</v>
      </c>
      <c r="S134" s="184"/>
      <c r="T134" s="3191">
        <f t="shared" si="335"/>
        <v>0.50474187999371067</v>
      </c>
      <c r="U134" s="77"/>
      <c r="V134" s="78">
        <f t="shared" si="336"/>
        <v>0</v>
      </c>
      <c r="W134" s="77"/>
      <c r="X134" s="3192">
        <f t="shared" si="337"/>
        <v>0</v>
      </c>
    </row>
    <row r="135" spans="1:24" s="178" customFormat="1">
      <c r="A135" s="180" t="s">
        <v>154</v>
      </c>
      <c r="B135" s="254">
        <v>209.9</v>
      </c>
      <c r="C135" s="1916"/>
      <c r="D135" s="256">
        <v>192.5</v>
      </c>
      <c r="E135" s="255"/>
      <c r="F135" s="256">
        <v>211.9</v>
      </c>
      <c r="G135" s="255"/>
      <c r="H135" s="256">
        <v>248.6</v>
      </c>
      <c r="I135" s="255"/>
      <c r="J135" s="256">
        <v>301.10000000000002</v>
      </c>
      <c r="K135" s="255"/>
      <c r="L135" s="256">
        <v>335.03</v>
      </c>
      <c r="M135" s="255"/>
      <c r="N135" s="256">
        <v>335</v>
      </c>
      <c r="O135" s="255"/>
      <c r="P135" s="257">
        <v>340</v>
      </c>
      <c r="Q135" s="255"/>
      <c r="R135" s="258">
        <v>340</v>
      </c>
      <c r="S135" s="184"/>
      <c r="T135" s="3191">
        <f t="shared" si="335"/>
        <v>8.1032443649115216E-2</v>
      </c>
      <c r="U135" s="77"/>
      <c r="V135" s="78">
        <f t="shared" si="336"/>
        <v>1.4925373134328358E-2</v>
      </c>
      <c r="W135" s="77"/>
      <c r="X135" s="3192">
        <f t="shared" si="337"/>
        <v>0</v>
      </c>
    </row>
    <row r="136" spans="1:24" s="178" customFormat="1">
      <c r="A136" s="180" t="s">
        <v>21</v>
      </c>
      <c r="B136" s="181">
        <f>SUM(B137:B139)</f>
        <v>36.5</v>
      </c>
      <c r="C136" s="3065"/>
      <c r="D136" s="183">
        <f>SUM(D137:D139)</f>
        <v>32.800000000000004</v>
      </c>
      <c r="E136" s="182"/>
      <c r="F136" s="183">
        <f>SUM(F137:F139)</f>
        <v>60.6</v>
      </c>
      <c r="G136" s="182"/>
      <c r="H136" s="183">
        <f>SUM(H137:H139)</f>
        <v>71.899999999999991</v>
      </c>
      <c r="I136" s="182"/>
      <c r="J136" s="183">
        <f>SUM(J137:J139)</f>
        <v>60.5</v>
      </c>
      <c r="K136" s="182"/>
      <c r="L136" s="183">
        <f>SUM(L137:L139)</f>
        <v>80.66</v>
      </c>
      <c r="M136" s="182"/>
      <c r="N136" s="183">
        <f>SUM(N137:N139)</f>
        <v>112</v>
      </c>
      <c r="O136" s="182"/>
      <c r="P136" s="183">
        <f>SUM(P137:P139)</f>
        <v>130</v>
      </c>
      <c r="Q136" s="182"/>
      <c r="R136" s="122">
        <f>SUM(R137:R139)</f>
        <v>130</v>
      </c>
      <c r="S136" s="184"/>
      <c r="T136" s="3197">
        <f t="shared" si="335"/>
        <v>0.20546385540692991</v>
      </c>
      <c r="U136" s="1480"/>
      <c r="V136" s="1479">
        <f t="shared" si="336"/>
        <v>0.16071428571428573</v>
      </c>
      <c r="W136" s="1480"/>
      <c r="X136" s="3198">
        <f t="shared" si="337"/>
        <v>0</v>
      </c>
    </row>
    <row r="137" spans="1:24" s="178" customFormat="1">
      <c r="A137" s="180" t="s">
        <v>20</v>
      </c>
      <c r="B137" s="263">
        <v>34.4</v>
      </c>
      <c r="C137" s="1916"/>
      <c r="D137" s="260">
        <v>31.6</v>
      </c>
      <c r="E137" s="259"/>
      <c r="F137" s="260">
        <v>58</v>
      </c>
      <c r="G137" s="259"/>
      <c r="H137" s="260">
        <v>64</v>
      </c>
      <c r="I137" s="259"/>
      <c r="J137" s="260">
        <v>52.6</v>
      </c>
      <c r="K137" s="259"/>
      <c r="L137" s="260">
        <v>62.83</v>
      </c>
      <c r="M137" s="259"/>
      <c r="N137" s="260">
        <v>94</v>
      </c>
      <c r="O137" s="259"/>
      <c r="P137" s="261">
        <v>109</v>
      </c>
      <c r="Q137" s="259"/>
      <c r="R137" s="262">
        <v>109</v>
      </c>
      <c r="S137" s="184"/>
      <c r="T137" s="3191">
        <f>(((N137/B137)^(1/6)-1))</f>
        <v>0.18239223375032365</v>
      </c>
      <c r="U137" s="77"/>
      <c r="V137" s="78">
        <f t="shared" si="336"/>
        <v>0.15957446808510639</v>
      </c>
      <c r="W137" s="77"/>
      <c r="X137" s="3192">
        <f t="shared" si="337"/>
        <v>0</v>
      </c>
    </row>
    <row r="138" spans="1:24" s="178" customFormat="1">
      <c r="A138" s="180" t="s">
        <v>17</v>
      </c>
      <c r="B138" s="263">
        <v>0</v>
      </c>
      <c r="C138" s="1916"/>
      <c r="D138" s="260">
        <v>0.6</v>
      </c>
      <c r="E138" s="259"/>
      <c r="F138" s="260">
        <v>0.7</v>
      </c>
      <c r="G138" s="259"/>
      <c r="H138" s="260">
        <v>0.3</v>
      </c>
      <c r="I138" s="259"/>
      <c r="J138" s="260">
        <v>1.8</v>
      </c>
      <c r="K138" s="259"/>
      <c r="L138" s="260">
        <v>7.25</v>
      </c>
      <c r="M138" s="259"/>
      <c r="N138" s="260">
        <v>7</v>
      </c>
      <c r="O138" s="259"/>
      <c r="P138" s="261">
        <v>9</v>
      </c>
      <c r="Q138" s="259"/>
      <c r="R138" s="262">
        <v>9</v>
      </c>
      <c r="S138" s="184"/>
      <c r="T138" s="3191" t="e">
        <f t="shared" ref="T138:T139" si="338">(((N138/B138)^(1/6)-1))</f>
        <v>#DIV/0!</v>
      </c>
      <c r="U138" s="77"/>
      <c r="V138" s="78">
        <f t="shared" si="336"/>
        <v>0.2857142857142857</v>
      </c>
      <c r="W138" s="77"/>
      <c r="X138" s="3192">
        <f t="shared" si="337"/>
        <v>0</v>
      </c>
    </row>
    <row r="139" spans="1:24" s="178" customFormat="1">
      <c r="A139" s="180" t="s">
        <v>154</v>
      </c>
      <c r="B139" s="263">
        <v>2.1</v>
      </c>
      <c r="C139" s="1916"/>
      <c r="D139" s="260">
        <v>0.6</v>
      </c>
      <c r="E139" s="259"/>
      <c r="F139" s="260">
        <v>1.9</v>
      </c>
      <c r="G139" s="259"/>
      <c r="H139" s="260">
        <v>7.6</v>
      </c>
      <c r="I139" s="259"/>
      <c r="J139" s="260">
        <v>6.1</v>
      </c>
      <c r="K139" s="259"/>
      <c r="L139" s="260">
        <v>10.58</v>
      </c>
      <c r="M139" s="259"/>
      <c r="N139" s="260">
        <v>11</v>
      </c>
      <c r="O139" s="259"/>
      <c r="P139" s="261">
        <v>12</v>
      </c>
      <c r="Q139" s="259"/>
      <c r="R139" s="262">
        <v>12</v>
      </c>
      <c r="S139" s="184"/>
      <c r="T139" s="3191">
        <f t="shared" si="338"/>
        <v>0.31783862332563229</v>
      </c>
      <c r="U139" s="77"/>
      <c r="V139" s="78">
        <f t="shared" si="336"/>
        <v>9.0909090909090912E-2</v>
      </c>
      <c r="W139" s="77"/>
      <c r="X139" s="3192">
        <f t="shared" si="337"/>
        <v>0</v>
      </c>
    </row>
    <row r="140" spans="1:24" s="178" customFormat="1">
      <c r="A140" s="212" t="s">
        <v>22</v>
      </c>
      <c r="B140" s="181">
        <f>SUM(B141:B143)</f>
        <v>0</v>
      </c>
      <c r="C140" s="3065"/>
      <c r="D140" s="183">
        <f>SUM(D141:D143)</f>
        <v>0</v>
      </c>
      <c r="E140" s="182"/>
      <c r="F140" s="183">
        <f>SUM(F141:F143)</f>
        <v>0</v>
      </c>
      <c r="G140" s="182"/>
      <c r="H140" s="183">
        <f>SUM(H141:H143)</f>
        <v>0</v>
      </c>
      <c r="I140" s="182"/>
      <c r="J140" s="183">
        <f>SUM(J141:J143)</f>
        <v>0</v>
      </c>
      <c r="K140" s="182"/>
      <c r="L140" s="183">
        <f>SUM(L141:L143)</f>
        <v>0</v>
      </c>
      <c r="M140" s="182"/>
      <c r="N140" s="183">
        <f>SUM(N141:N143)</f>
        <v>0</v>
      </c>
      <c r="O140" s="182"/>
      <c r="P140" s="183">
        <f>SUM(P141:P143)</f>
        <v>0</v>
      </c>
      <c r="Q140" s="182"/>
      <c r="R140" s="122">
        <f>SUM(R141:R143)</f>
        <v>0</v>
      </c>
      <c r="S140" s="184"/>
      <c r="T140" s="3197">
        <v>0</v>
      </c>
      <c r="U140" s="1480"/>
      <c r="V140" s="1479">
        <v>0</v>
      </c>
      <c r="W140" s="1480"/>
      <c r="X140" s="3198">
        <v>0</v>
      </c>
    </row>
    <row r="141" spans="1:24" s="178" customFormat="1">
      <c r="A141" s="180" t="s">
        <v>20</v>
      </c>
      <c r="B141" s="268">
        <v>0</v>
      </c>
      <c r="C141" s="1916"/>
      <c r="D141" s="269">
        <v>0</v>
      </c>
      <c r="E141" s="264"/>
      <c r="F141" s="269">
        <v>0</v>
      </c>
      <c r="G141" s="264"/>
      <c r="H141" s="269">
        <v>0</v>
      </c>
      <c r="I141" s="264"/>
      <c r="J141" s="269">
        <v>0</v>
      </c>
      <c r="K141" s="264"/>
      <c r="L141" s="265">
        <v>0</v>
      </c>
      <c r="M141" s="264"/>
      <c r="N141" s="265">
        <v>0</v>
      </c>
      <c r="O141" s="264"/>
      <c r="P141" s="266">
        <v>0</v>
      </c>
      <c r="Q141" s="264"/>
      <c r="R141" s="267">
        <v>0</v>
      </c>
      <c r="S141" s="184"/>
      <c r="T141" s="3191"/>
      <c r="U141" s="77"/>
      <c r="V141" s="78"/>
      <c r="W141" s="77"/>
      <c r="X141" s="3192"/>
    </row>
    <row r="142" spans="1:24" s="178" customFormat="1">
      <c r="A142" s="180" t="s">
        <v>17</v>
      </c>
      <c r="B142" s="268">
        <v>0</v>
      </c>
      <c r="C142" s="1916"/>
      <c r="D142" s="269">
        <v>0</v>
      </c>
      <c r="E142" s="264"/>
      <c r="F142" s="269">
        <v>0</v>
      </c>
      <c r="G142" s="264"/>
      <c r="H142" s="269">
        <v>0</v>
      </c>
      <c r="I142" s="264"/>
      <c r="J142" s="269">
        <v>0</v>
      </c>
      <c r="K142" s="264"/>
      <c r="L142" s="265">
        <v>0</v>
      </c>
      <c r="M142" s="264"/>
      <c r="N142" s="265">
        <v>0</v>
      </c>
      <c r="O142" s="264"/>
      <c r="P142" s="266">
        <v>0</v>
      </c>
      <c r="Q142" s="264"/>
      <c r="R142" s="267">
        <v>0</v>
      </c>
      <c r="S142" s="184"/>
      <c r="T142" s="3191"/>
      <c r="U142" s="77"/>
      <c r="V142" s="78"/>
      <c r="W142" s="77"/>
      <c r="X142" s="3192"/>
    </row>
    <row r="143" spans="1:24" s="178" customFormat="1" ht="13.8" thickBot="1">
      <c r="A143" s="102" t="s">
        <v>154</v>
      </c>
      <c r="B143" s="270">
        <v>0</v>
      </c>
      <c r="C143" s="1921"/>
      <c r="D143" s="272">
        <v>0</v>
      </c>
      <c r="E143" s="271"/>
      <c r="F143" s="272">
        <v>0</v>
      </c>
      <c r="G143" s="271"/>
      <c r="H143" s="272">
        <v>0</v>
      </c>
      <c r="I143" s="271"/>
      <c r="J143" s="272">
        <v>0</v>
      </c>
      <c r="K143" s="271"/>
      <c r="L143" s="273">
        <v>0</v>
      </c>
      <c r="M143" s="271"/>
      <c r="N143" s="273">
        <v>0</v>
      </c>
      <c r="O143" s="271"/>
      <c r="P143" s="274">
        <v>0</v>
      </c>
      <c r="Q143" s="271"/>
      <c r="R143" s="275">
        <v>0</v>
      </c>
      <c r="S143" s="185"/>
      <c r="T143" s="3193"/>
      <c r="U143" s="3194"/>
      <c r="V143" s="3195"/>
      <c r="W143" s="3194"/>
      <c r="X143" s="3196"/>
    </row>
    <row r="144" spans="1:24" s="178" customFormat="1" ht="13.8" thickTop="1">
      <c r="A144" s="214" t="s">
        <v>25</v>
      </c>
      <c r="B144" s="123">
        <f>B132+B136+B140</f>
        <v>1633.9</v>
      </c>
      <c r="C144" s="124"/>
      <c r="D144" s="187">
        <f>D132+D136+D140</f>
        <v>1654.7</v>
      </c>
      <c r="E144" s="124"/>
      <c r="F144" s="187">
        <f>F132+F136+F140</f>
        <v>1861</v>
      </c>
      <c r="G144" s="124"/>
      <c r="H144" s="187">
        <f>H132+H136+H140</f>
        <v>2183.6000000000004</v>
      </c>
      <c r="I144" s="124"/>
      <c r="J144" s="187">
        <f>J132+J136+J140</f>
        <v>2423.8000000000002</v>
      </c>
      <c r="K144" s="124"/>
      <c r="L144" s="187">
        <f>L132+L136+L140</f>
        <v>2690.25</v>
      </c>
      <c r="M144" s="124"/>
      <c r="N144" s="187">
        <f>N132+N136+N140</f>
        <v>2800</v>
      </c>
      <c r="O144" s="124"/>
      <c r="P144" s="183">
        <f>P132+P136+P140</f>
        <v>2823</v>
      </c>
      <c r="Q144" s="124"/>
      <c r="R144" s="122">
        <f>R132+R136+R140</f>
        <v>2823</v>
      </c>
      <c r="S144" s="124"/>
      <c r="T144" s="3197">
        <f t="shared" ref="T144" si="339">(((N144/B144)^(1/6)-1))</f>
        <v>9.3928053291183478E-2</v>
      </c>
      <c r="U144" s="1480"/>
      <c r="V144" s="1479">
        <f t="shared" ref="V144" si="340">(P144-N144)/N144</f>
        <v>8.2142857142857139E-3</v>
      </c>
      <c r="W144" s="1480"/>
      <c r="X144" s="3198">
        <f t="shared" ref="X144" si="341">(R144-P144)/P144</f>
        <v>0</v>
      </c>
    </row>
    <row r="145" spans="1:25" s="178" customFormat="1" ht="8.25" customHeight="1" thickBot="1">
      <c r="A145" s="213"/>
      <c r="B145" s="126"/>
      <c r="C145" s="3068"/>
      <c r="D145" s="184"/>
      <c r="E145" s="184"/>
      <c r="F145" s="184"/>
      <c r="G145" s="184"/>
      <c r="H145" s="184"/>
      <c r="I145" s="184"/>
      <c r="J145" s="184"/>
      <c r="K145" s="184"/>
      <c r="L145" s="184"/>
      <c r="M145" s="184"/>
      <c r="N145" s="184"/>
      <c r="O145" s="184"/>
      <c r="P145" s="182"/>
      <c r="Q145" s="184"/>
      <c r="R145" s="127"/>
      <c r="S145" s="184"/>
      <c r="T145" s="84"/>
      <c r="U145" s="34"/>
      <c r="V145" s="34"/>
      <c r="W145" s="34"/>
      <c r="X145" s="42"/>
    </row>
    <row r="146" spans="1:25" s="178" customFormat="1">
      <c r="A146" s="211" t="s">
        <v>78</v>
      </c>
      <c r="B146" s="115"/>
      <c r="C146" s="3073"/>
      <c r="D146" s="116"/>
      <c r="E146" s="186"/>
      <c r="F146" s="116"/>
      <c r="G146" s="186"/>
      <c r="H146" s="117"/>
      <c r="I146" s="186"/>
      <c r="J146" s="117"/>
      <c r="K146" s="186"/>
      <c r="L146" s="117"/>
      <c r="M146" s="186"/>
      <c r="N146" s="117"/>
      <c r="O146" s="186"/>
      <c r="P146" s="118"/>
      <c r="Q146" s="186"/>
      <c r="R146" s="119"/>
      <c r="S146" s="186"/>
      <c r="T146" s="86"/>
      <c r="U146" s="45"/>
      <c r="V146" s="47"/>
      <c r="W146" s="45"/>
      <c r="X146" s="85"/>
    </row>
    <row r="147" spans="1:25" s="178" customFormat="1">
      <c r="A147" s="212" t="s">
        <v>79</v>
      </c>
      <c r="B147" s="177">
        <v>180</v>
      </c>
      <c r="C147" s="3084"/>
      <c r="D147" s="217">
        <v>173</v>
      </c>
      <c r="E147" s="216"/>
      <c r="F147" s="217">
        <v>324</v>
      </c>
      <c r="G147" s="216"/>
      <c r="H147" s="218">
        <v>416</v>
      </c>
      <c r="I147" s="216"/>
      <c r="J147" s="218">
        <v>573</v>
      </c>
      <c r="K147" s="280"/>
      <c r="L147" s="218">
        <v>709</v>
      </c>
      <c r="M147" s="182"/>
      <c r="N147" s="218">
        <v>709</v>
      </c>
      <c r="O147" s="182"/>
      <c r="P147" s="218">
        <v>709</v>
      </c>
      <c r="Q147" s="182"/>
      <c r="R147" s="218">
        <v>709</v>
      </c>
      <c r="S147" s="182"/>
      <c r="T147" s="3191">
        <f t="shared" ref="T147:T148" si="342">(((N147/B147)^(1/6)-1))</f>
        <v>0.25669230269588938</v>
      </c>
      <c r="U147" s="77"/>
      <c r="V147" s="78">
        <f t="shared" ref="V147:V148" si="343">(P147-N147)/N147</f>
        <v>0</v>
      </c>
      <c r="W147" s="77"/>
      <c r="X147" s="3192">
        <f t="shared" ref="X147:X148" si="344">(R147-P147)/P147</f>
        <v>0</v>
      </c>
    </row>
    <row r="148" spans="1:25" s="178" customFormat="1" ht="13.8" thickBot="1">
      <c r="A148" s="215" t="s">
        <v>80</v>
      </c>
      <c r="B148" s="219">
        <v>27.2</v>
      </c>
      <c r="C148" s="220"/>
      <c r="D148" s="221">
        <v>28.8</v>
      </c>
      <c r="E148" s="220"/>
      <c r="F148" s="221">
        <v>51.7</v>
      </c>
      <c r="G148" s="220"/>
      <c r="H148" s="222">
        <v>73.099999999999994</v>
      </c>
      <c r="I148" s="220"/>
      <c r="J148" s="222">
        <v>106.5</v>
      </c>
      <c r="K148" s="97"/>
      <c r="L148" s="222">
        <v>137.69999999999999</v>
      </c>
      <c r="M148" s="97"/>
      <c r="N148" s="222">
        <v>137.69999999999999</v>
      </c>
      <c r="O148" s="97"/>
      <c r="P148" s="222">
        <v>137.69999999999999</v>
      </c>
      <c r="Q148" s="97"/>
      <c r="R148" s="222">
        <v>137.69999999999999</v>
      </c>
      <c r="S148" s="97"/>
      <c r="T148" s="3191">
        <f t="shared" si="342"/>
        <v>0.3103706971044482</v>
      </c>
      <c r="U148" s="77"/>
      <c r="V148" s="78">
        <f t="shared" si="343"/>
        <v>0</v>
      </c>
      <c r="W148" s="77"/>
      <c r="X148" s="3192">
        <f t="shared" si="344"/>
        <v>0</v>
      </c>
      <c r="Y148" s="3259"/>
    </row>
    <row r="149" spans="1:25" s="276" customFormat="1" ht="13.8" thickBot="1">
      <c r="A149" s="111"/>
      <c r="B149" s="112"/>
      <c r="C149" s="112"/>
      <c r="D149" s="112"/>
      <c r="E149" s="112"/>
      <c r="F149" s="113"/>
      <c r="G149" s="112"/>
      <c r="H149" s="112"/>
      <c r="I149" s="112"/>
      <c r="J149" s="112"/>
      <c r="K149" s="112"/>
      <c r="L149" s="112"/>
      <c r="M149" s="112"/>
      <c r="N149" s="112"/>
      <c r="O149" s="112"/>
      <c r="P149" s="112"/>
      <c r="Q149" s="112"/>
      <c r="R149" s="112"/>
      <c r="S149" s="112"/>
      <c r="T149" s="112"/>
      <c r="U149" s="112"/>
      <c r="V149" s="112"/>
      <c r="W149" s="112"/>
      <c r="X149" s="112"/>
    </row>
    <row r="150" spans="1:25" s="277" customFormat="1">
      <c r="A150" s="114" t="s">
        <v>175</v>
      </c>
      <c r="B150" s="286" t="s">
        <v>13</v>
      </c>
      <c r="C150" s="3051"/>
      <c r="D150" s="288" t="s">
        <v>13</v>
      </c>
      <c r="E150" s="287"/>
      <c r="F150" s="289" t="s">
        <v>13</v>
      </c>
      <c r="G150" s="287"/>
      <c r="H150" s="289" t="s">
        <v>13</v>
      </c>
      <c r="I150" s="287"/>
      <c r="J150" s="289" t="s">
        <v>13</v>
      </c>
      <c r="K150" s="287"/>
      <c r="L150" s="290" t="s">
        <v>14</v>
      </c>
      <c r="M150" s="287"/>
      <c r="N150" s="290" t="s">
        <v>15</v>
      </c>
      <c r="O150" s="287"/>
      <c r="P150" s="291" t="s">
        <v>16</v>
      </c>
      <c r="Q150" s="287"/>
      <c r="R150" s="292" t="s">
        <v>16</v>
      </c>
      <c r="S150" s="287"/>
      <c r="T150" s="293" t="s">
        <v>62</v>
      </c>
      <c r="U150" s="294"/>
      <c r="V150" s="295" t="s">
        <v>75</v>
      </c>
      <c r="W150" s="294"/>
      <c r="X150" s="296" t="s">
        <v>75</v>
      </c>
    </row>
    <row r="151" spans="1:25" s="277" customFormat="1" ht="13.8" thickBot="1">
      <c r="A151" s="297"/>
      <c r="B151" s="298" t="s">
        <v>3</v>
      </c>
      <c r="C151" s="3053"/>
      <c r="D151" s="300" t="s">
        <v>4</v>
      </c>
      <c r="E151" s="299"/>
      <c r="F151" s="301" t="s">
        <v>5</v>
      </c>
      <c r="G151" s="299"/>
      <c r="H151" s="302" t="s">
        <v>6</v>
      </c>
      <c r="I151" s="299"/>
      <c r="J151" s="302" t="s">
        <v>7</v>
      </c>
      <c r="K151" s="299"/>
      <c r="L151" s="302" t="s">
        <v>8</v>
      </c>
      <c r="M151" s="299"/>
      <c r="N151" s="302" t="s">
        <v>9</v>
      </c>
      <c r="O151" s="299"/>
      <c r="P151" s="303" t="s">
        <v>10</v>
      </c>
      <c r="Q151" s="299"/>
      <c r="R151" s="304" t="s">
        <v>11</v>
      </c>
      <c r="S151" s="299"/>
      <c r="T151" s="305" t="s">
        <v>63</v>
      </c>
      <c r="U151" s="306"/>
      <c r="V151" s="307" t="s">
        <v>76</v>
      </c>
      <c r="W151" s="306"/>
      <c r="X151" s="308" t="s">
        <v>77</v>
      </c>
    </row>
    <row r="152" spans="1:25" s="276" customFormat="1">
      <c r="A152" s="309" t="s">
        <v>81</v>
      </c>
      <c r="B152" s="115"/>
      <c r="C152" s="3073"/>
      <c r="D152" s="116"/>
      <c r="E152" s="284"/>
      <c r="F152" s="116"/>
      <c r="G152" s="284"/>
      <c r="H152" s="117"/>
      <c r="I152" s="284"/>
      <c r="J152" s="117"/>
      <c r="K152" s="284"/>
      <c r="L152" s="117"/>
      <c r="M152" s="284"/>
      <c r="N152" s="117"/>
      <c r="O152" s="284"/>
      <c r="P152" s="118"/>
      <c r="Q152" s="284"/>
      <c r="R152" s="119"/>
      <c r="S152" s="284"/>
      <c r="T152" s="120"/>
      <c r="U152" s="284"/>
      <c r="V152" s="117"/>
      <c r="W152" s="284"/>
      <c r="X152" s="121"/>
    </row>
    <row r="153" spans="1:25" s="276" customFormat="1">
      <c r="A153" s="278" t="s">
        <v>19</v>
      </c>
      <c r="B153" s="279">
        <f>SUM(B154:B156)</f>
        <v>3642</v>
      </c>
      <c r="C153" s="3065"/>
      <c r="D153" s="281">
        <f>SUM(D154:D156)</f>
        <v>3570</v>
      </c>
      <c r="E153" s="280"/>
      <c r="F153" s="281">
        <f>SUM(F154:F156)</f>
        <v>3437</v>
      </c>
      <c r="G153" s="280"/>
      <c r="H153" s="281">
        <f>SUM(H154:H156)</f>
        <v>3862</v>
      </c>
      <c r="I153" s="280"/>
      <c r="J153" s="281">
        <f>SUM(J154:J156)</f>
        <v>4014</v>
      </c>
      <c r="K153" s="280"/>
      <c r="L153" s="281">
        <f>SUM(L154:L156)</f>
        <v>4034</v>
      </c>
      <c r="M153" s="280"/>
      <c r="N153" s="281">
        <f>SUM(N154:N156)</f>
        <v>4042</v>
      </c>
      <c r="O153" s="280"/>
      <c r="P153" s="281">
        <f>SUM(P154:P156)</f>
        <v>4047</v>
      </c>
      <c r="Q153" s="280"/>
      <c r="R153" s="122">
        <f>SUM(R154:R156)</f>
        <v>4047</v>
      </c>
      <c r="S153" s="280"/>
      <c r="T153" s="3188">
        <f>(((N153/B153)^(1/6)-1))</f>
        <v>1.7519469653360042E-2</v>
      </c>
      <c r="U153" s="25"/>
      <c r="V153" s="3189">
        <f>(P153-N153)/N153</f>
        <v>1.2370113805047005E-3</v>
      </c>
      <c r="W153" s="25"/>
      <c r="X153" s="3190">
        <f>(R153-P153)/P153</f>
        <v>0</v>
      </c>
    </row>
    <row r="154" spans="1:25" s="276" customFormat="1">
      <c r="A154" s="278" t="s">
        <v>20</v>
      </c>
      <c r="B154" s="314">
        <v>3615</v>
      </c>
      <c r="C154" s="1902"/>
      <c r="D154" s="316">
        <v>3543</v>
      </c>
      <c r="E154" s="315"/>
      <c r="F154" s="316">
        <v>3410</v>
      </c>
      <c r="G154" s="315"/>
      <c r="H154" s="316">
        <v>3835</v>
      </c>
      <c r="I154" s="315"/>
      <c r="J154" s="316">
        <v>3980</v>
      </c>
      <c r="K154" s="317"/>
      <c r="L154" s="320">
        <v>4004</v>
      </c>
      <c r="M154" s="315"/>
      <c r="N154" s="316">
        <v>4004</v>
      </c>
      <c r="O154" s="315"/>
      <c r="P154" s="316">
        <v>4004</v>
      </c>
      <c r="Q154" s="315"/>
      <c r="R154" s="318">
        <v>4004</v>
      </c>
      <c r="S154" s="282"/>
      <c r="T154" s="3191">
        <f t="shared" ref="T154:T157" si="345">(((N154/B154)^(1/6)-1))</f>
        <v>1.7179567784640026E-2</v>
      </c>
      <c r="U154" s="77"/>
      <c r="V154" s="78">
        <f t="shared" ref="V154:V165" si="346">(P154-N154)/N154</f>
        <v>0</v>
      </c>
      <c r="W154" s="77"/>
      <c r="X154" s="3192">
        <f t="shared" ref="X154:X165" si="347">(R154-P154)/P154</f>
        <v>0</v>
      </c>
    </row>
    <row r="155" spans="1:25" s="276" customFormat="1">
      <c r="A155" s="278" t="s">
        <v>17</v>
      </c>
      <c r="B155" s="314">
        <v>27</v>
      </c>
      <c r="C155" s="1902"/>
      <c r="D155" s="316">
        <v>27</v>
      </c>
      <c r="E155" s="315"/>
      <c r="F155" s="316">
        <v>27</v>
      </c>
      <c r="G155" s="315"/>
      <c r="H155" s="316">
        <v>27</v>
      </c>
      <c r="I155" s="315"/>
      <c r="J155" s="316">
        <v>34</v>
      </c>
      <c r="K155" s="317"/>
      <c r="L155" s="319">
        <v>30</v>
      </c>
      <c r="M155" s="315"/>
      <c r="N155" s="316">
        <v>38</v>
      </c>
      <c r="O155" s="315"/>
      <c r="P155" s="316">
        <v>43</v>
      </c>
      <c r="Q155" s="315"/>
      <c r="R155" s="318">
        <v>43</v>
      </c>
      <c r="S155" s="282"/>
      <c r="T155" s="3191">
        <f t="shared" si="345"/>
        <v>5.861157604335121E-2</v>
      </c>
      <c r="U155" s="77"/>
      <c r="V155" s="78">
        <f t="shared" si="346"/>
        <v>0.13157894736842105</v>
      </c>
      <c r="W155" s="77"/>
      <c r="X155" s="3192">
        <f t="shared" si="347"/>
        <v>0</v>
      </c>
    </row>
    <row r="156" spans="1:25" s="276" customFormat="1">
      <c r="A156" s="278" t="s">
        <v>154</v>
      </c>
      <c r="B156" s="314">
        <v>0</v>
      </c>
      <c r="C156" s="1902"/>
      <c r="D156" s="316">
        <v>0</v>
      </c>
      <c r="E156" s="315"/>
      <c r="F156" s="316">
        <v>0</v>
      </c>
      <c r="G156" s="315"/>
      <c r="H156" s="316">
        <v>0</v>
      </c>
      <c r="I156" s="315"/>
      <c r="J156" s="316">
        <v>0</v>
      </c>
      <c r="K156" s="317"/>
      <c r="L156" s="319">
        <v>0</v>
      </c>
      <c r="M156" s="315"/>
      <c r="N156" s="316">
        <v>0</v>
      </c>
      <c r="O156" s="315"/>
      <c r="P156" s="316">
        <v>0</v>
      </c>
      <c r="Q156" s="315"/>
      <c r="R156" s="318">
        <v>0</v>
      </c>
      <c r="S156" s="282"/>
      <c r="T156" s="3191"/>
      <c r="U156" s="77"/>
      <c r="V156" s="78"/>
      <c r="W156" s="77"/>
      <c r="X156" s="3192"/>
    </row>
    <row r="157" spans="1:25" s="276" customFormat="1">
      <c r="A157" s="278" t="s">
        <v>21</v>
      </c>
      <c r="B157" s="279">
        <f>SUM(B158:B160)</f>
        <v>280</v>
      </c>
      <c r="C157" s="3065"/>
      <c r="D157" s="281">
        <f>SUM(D158:D160)</f>
        <v>278</v>
      </c>
      <c r="E157" s="280"/>
      <c r="F157" s="281">
        <f>SUM(F158:F160)</f>
        <v>258</v>
      </c>
      <c r="G157" s="280"/>
      <c r="H157" s="281">
        <f>SUM(H158:H160)</f>
        <v>257</v>
      </c>
      <c r="I157" s="280"/>
      <c r="J157" s="281">
        <f>SUM(J158:J160)</f>
        <v>211</v>
      </c>
      <c r="K157" s="280"/>
      <c r="L157" s="281">
        <f>SUM(L158:L160)</f>
        <v>192</v>
      </c>
      <c r="M157" s="280"/>
      <c r="N157" s="281">
        <f>SUM(N158:N160)</f>
        <v>214</v>
      </c>
      <c r="O157" s="280"/>
      <c r="P157" s="281">
        <f>SUM(P158:P160)</f>
        <v>214</v>
      </c>
      <c r="Q157" s="280"/>
      <c r="R157" s="122">
        <f>SUM(R158:R160)</f>
        <v>214</v>
      </c>
      <c r="S157" s="282"/>
      <c r="T157" s="3197">
        <f t="shared" si="345"/>
        <v>-4.3813465019024056E-2</v>
      </c>
      <c r="U157" s="1480"/>
      <c r="V157" s="1479">
        <f t="shared" si="346"/>
        <v>0</v>
      </c>
      <c r="W157" s="1480"/>
      <c r="X157" s="3198">
        <f t="shared" si="347"/>
        <v>0</v>
      </c>
    </row>
    <row r="158" spans="1:25" s="276" customFormat="1">
      <c r="A158" s="278" t="s">
        <v>20</v>
      </c>
      <c r="B158" s="321">
        <v>272</v>
      </c>
      <c r="C158" s="1902"/>
      <c r="D158" s="323">
        <v>276</v>
      </c>
      <c r="E158" s="322"/>
      <c r="F158" s="323">
        <v>256</v>
      </c>
      <c r="G158" s="322"/>
      <c r="H158" s="323">
        <v>253</v>
      </c>
      <c r="I158" s="322"/>
      <c r="J158" s="323">
        <v>207</v>
      </c>
      <c r="K158" s="324"/>
      <c r="L158" s="327">
        <v>185</v>
      </c>
      <c r="M158" s="322"/>
      <c r="N158" s="323">
        <v>198</v>
      </c>
      <c r="O158" s="322"/>
      <c r="P158" s="326">
        <v>198</v>
      </c>
      <c r="Q158" s="322"/>
      <c r="R158" s="325">
        <v>198</v>
      </c>
      <c r="S158" s="282"/>
      <c r="T158" s="3191">
        <f>(((N158/B158)^(1/6)-1))</f>
        <v>-5.1546490846279047E-2</v>
      </c>
      <c r="U158" s="77"/>
      <c r="V158" s="78">
        <f t="shared" si="346"/>
        <v>0</v>
      </c>
      <c r="W158" s="77"/>
      <c r="X158" s="3192">
        <f t="shared" si="347"/>
        <v>0</v>
      </c>
    </row>
    <row r="159" spans="1:25" s="276" customFormat="1">
      <c r="A159" s="278" t="s">
        <v>17</v>
      </c>
      <c r="B159" s="321">
        <v>8</v>
      </c>
      <c r="C159" s="1902"/>
      <c r="D159" s="323">
        <v>2</v>
      </c>
      <c r="E159" s="322"/>
      <c r="F159" s="323">
        <v>2</v>
      </c>
      <c r="G159" s="322"/>
      <c r="H159" s="323">
        <v>4</v>
      </c>
      <c r="I159" s="322"/>
      <c r="J159" s="323">
        <v>4</v>
      </c>
      <c r="K159" s="324"/>
      <c r="L159" s="327">
        <v>7</v>
      </c>
      <c r="M159" s="322"/>
      <c r="N159" s="323">
        <v>16</v>
      </c>
      <c r="O159" s="322"/>
      <c r="P159" s="326">
        <v>16</v>
      </c>
      <c r="Q159" s="322"/>
      <c r="R159" s="325">
        <v>16</v>
      </c>
      <c r="S159" s="282"/>
      <c r="T159" s="3191">
        <f t="shared" ref="T159" si="348">(((N159/B159)^(1/6)-1))</f>
        <v>0.12246204830937302</v>
      </c>
      <c r="U159" s="77"/>
      <c r="V159" s="78">
        <f t="shared" si="346"/>
        <v>0</v>
      </c>
      <c r="W159" s="77"/>
      <c r="X159" s="3192">
        <f t="shared" si="347"/>
        <v>0</v>
      </c>
    </row>
    <row r="160" spans="1:25" s="276" customFormat="1">
      <c r="A160" s="278" t="s">
        <v>154</v>
      </c>
      <c r="B160" s="321">
        <v>0</v>
      </c>
      <c r="C160" s="1902"/>
      <c r="D160" s="323">
        <v>0</v>
      </c>
      <c r="E160" s="322"/>
      <c r="F160" s="323">
        <v>0</v>
      </c>
      <c r="G160" s="322"/>
      <c r="H160" s="323">
        <v>0</v>
      </c>
      <c r="I160" s="322"/>
      <c r="J160" s="323">
        <v>0</v>
      </c>
      <c r="K160" s="324"/>
      <c r="L160" s="327">
        <v>0</v>
      </c>
      <c r="M160" s="322"/>
      <c r="N160" s="323">
        <v>0</v>
      </c>
      <c r="O160" s="322"/>
      <c r="P160" s="326">
        <v>0</v>
      </c>
      <c r="Q160" s="322"/>
      <c r="R160" s="325">
        <v>0</v>
      </c>
      <c r="S160" s="282"/>
      <c r="T160" s="3191"/>
      <c r="U160" s="77"/>
      <c r="V160" s="78"/>
      <c r="W160" s="77"/>
      <c r="X160" s="3192"/>
    </row>
    <row r="161" spans="1:24" s="276" customFormat="1">
      <c r="A161" s="310" t="s">
        <v>22</v>
      </c>
      <c r="B161" s="279">
        <f>SUM(B162:B164)</f>
        <v>0</v>
      </c>
      <c r="C161" s="3065"/>
      <c r="D161" s="281">
        <f>SUM(D162:D164)</f>
        <v>0</v>
      </c>
      <c r="E161" s="280"/>
      <c r="F161" s="281">
        <f>SUM(F162:F164)</f>
        <v>0</v>
      </c>
      <c r="G161" s="280"/>
      <c r="H161" s="281">
        <f>SUM(H162:H164)</f>
        <v>0</v>
      </c>
      <c r="I161" s="280"/>
      <c r="J161" s="281">
        <f>SUM(J162:J164)</f>
        <v>0</v>
      </c>
      <c r="K161" s="280"/>
      <c r="L161" s="281">
        <f>SUM(L162:L164)</f>
        <v>0</v>
      </c>
      <c r="M161" s="280"/>
      <c r="N161" s="281">
        <f>SUM(N162:N164)</f>
        <v>0</v>
      </c>
      <c r="O161" s="280"/>
      <c r="P161" s="281">
        <f>SUM(P162:P164)</f>
        <v>0</v>
      </c>
      <c r="Q161" s="280"/>
      <c r="R161" s="122">
        <f>SUM(R162:R164)</f>
        <v>0</v>
      </c>
      <c r="S161" s="282"/>
      <c r="T161" s="3197">
        <v>0</v>
      </c>
      <c r="U161" s="1480"/>
      <c r="V161" s="1479">
        <v>0</v>
      </c>
      <c r="W161" s="1480"/>
      <c r="X161" s="3198">
        <v>0</v>
      </c>
    </row>
    <row r="162" spans="1:24" s="276" customFormat="1">
      <c r="A162" s="278" t="s">
        <v>20</v>
      </c>
      <c r="B162" s="333">
        <v>0</v>
      </c>
      <c r="C162" s="1902"/>
      <c r="D162" s="334">
        <v>0</v>
      </c>
      <c r="E162" s="328"/>
      <c r="F162" s="334">
        <v>0</v>
      </c>
      <c r="G162" s="328"/>
      <c r="H162" s="334">
        <v>0</v>
      </c>
      <c r="I162" s="328"/>
      <c r="J162" s="334">
        <v>0</v>
      </c>
      <c r="K162" s="330"/>
      <c r="L162" s="342">
        <v>0</v>
      </c>
      <c r="M162" s="328"/>
      <c r="N162" s="329">
        <v>0</v>
      </c>
      <c r="O162" s="328"/>
      <c r="P162" s="332">
        <v>0</v>
      </c>
      <c r="Q162" s="328"/>
      <c r="R162" s="331">
        <v>0</v>
      </c>
      <c r="S162" s="282"/>
      <c r="T162" s="3191"/>
      <c r="U162" s="77"/>
      <c r="V162" s="78"/>
      <c r="W162" s="77"/>
      <c r="X162" s="3192"/>
    </row>
    <row r="163" spans="1:24" s="276" customFormat="1">
      <c r="A163" s="278" t="s">
        <v>17</v>
      </c>
      <c r="B163" s="333">
        <v>0</v>
      </c>
      <c r="C163" s="1902"/>
      <c r="D163" s="334">
        <v>0</v>
      </c>
      <c r="E163" s="328"/>
      <c r="F163" s="334">
        <v>0</v>
      </c>
      <c r="G163" s="328"/>
      <c r="H163" s="334">
        <v>0</v>
      </c>
      <c r="I163" s="328"/>
      <c r="J163" s="334">
        <v>0</v>
      </c>
      <c r="K163" s="330"/>
      <c r="L163" s="342">
        <v>0</v>
      </c>
      <c r="M163" s="328"/>
      <c r="N163" s="329">
        <v>0</v>
      </c>
      <c r="O163" s="328"/>
      <c r="P163" s="332">
        <v>0</v>
      </c>
      <c r="Q163" s="328"/>
      <c r="R163" s="331">
        <v>0</v>
      </c>
      <c r="S163" s="282"/>
      <c r="T163" s="3191"/>
      <c r="U163" s="77"/>
      <c r="V163" s="78"/>
      <c r="W163" s="77"/>
      <c r="X163" s="3192"/>
    </row>
    <row r="164" spans="1:24" s="276" customFormat="1" ht="13.8" thickBot="1">
      <c r="A164" s="102" t="s">
        <v>154</v>
      </c>
      <c r="B164" s="335">
        <v>0</v>
      </c>
      <c r="C164" s="1909"/>
      <c r="D164" s="337">
        <v>0</v>
      </c>
      <c r="E164" s="336"/>
      <c r="F164" s="337">
        <v>0</v>
      </c>
      <c r="G164" s="336"/>
      <c r="H164" s="337">
        <v>0</v>
      </c>
      <c r="I164" s="336"/>
      <c r="J164" s="337">
        <v>0</v>
      </c>
      <c r="K164" s="338"/>
      <c r="L164" s="343">
        <v>0</v>
      </c>
      <c r="M164" s="336"/>
      <c r="N164" s="339">
        <v>0</v>
      </c>
      <c r="O164" s="336"/>
      <c r="P164" s="340">
        <v>0</v>
      </c>
      <c r="Q164" s="336"/>
      <c r="R164" s="341">
        <v>0</v>
      </c>
      <c r="S164" s="283"/>
      <c r="T164" s="3193"/>
      <c r="U164" s="3194"/>
      <c r="V164" s="3195"/>
      <c r="W164" s="3194"/>
      <c r="X164" s="3196"/>
    </row>
    <row r="165" spans="1:24" s="276" customFormat="1" ht="13.8" thickTop="1">
      <c r="A165" s="312" t="s">
        <v>23</v>
      </c>
      <c r="B165" s="123">
        <f>B153+B157+B161</f>
        <v>3922</v>
      </c>
      <c r="C165" s="124"/>
      <c r="D165" s="285">
        <f>D153+D157+D161</f>
        <v>3848</v>
      </c>
      <c r="E165" s="124"/>
      <c r="F165" s="285">
        <f>F153+F157+F161</f>
        <v>3695</v>
      </c>
      <c r="G165" s="124"/>
      <c r="H165" s="285">
        <f>H153+H157+H161</f>
        <v>4119</v>
      </c>
      <c r="I165" s="124"/>
      <c r="J165" s="285">
        <f>J153+J157+J161</f>
        <v>4225</v>
      </c>
      <c r="K165" s="124"/>
      <c r="L165" s="285">
        <f>L153+L157+L161</f>
        <v>4226</v>
      </c>
      <c r="M165" s="124"/>
      <c r="N165" s="285">
        <f>N153+N157+N161</f>
        <v>4256</v>
      </c>
      <c r="O165" s="124"/>
      <c r="P165" s="281">
        <f>P153+P157+P161</f>
        <v>4261</v>
      </c>
      <c r="Q165" s="124"/>
      <c r="R165" s="122">
        <f>R153+R157+R161</f>
        <v>4261</v>
      </c>
      <c r="S165" s="124"/>
      <c r="T165" s="3197">
        <f t="shared" ref="T165" si="349">(((N165/B165)^(1/6)-1))</f>
        <v>1.3714530450860796E-2</v>
      </c>
      <c r="U165" s="1480"/>
      <c r="V165" s="1479">
        <f t="shared" si="346"/>
        <v>1.1748120300751879E-3</v>
      </c>
      <c r="W165" s="1480"/>
      <c r="X165" s="3198">
        <f t="shared" si="347"/>
        <v>0</v>
      </c>
    </row>
    <row r="166" spans="1:24" s="276" customFormat="1" ht="8.25" customHeight="1" thickBot="1">
      <c r="A166" s="311"/>
      <c r="B166" s="126"/>
      <c r="C166" s="3068"/>
      <c r="D166" s="282"/>
      <c r="E166" s="282"/>
      <c r="F166" s="282"/>
      <c r="G166" s="282"/>
      <c r="H166" s="282"/>
      <c r="I166" s="282"/>
      <c r="J166" s="282"/>
      <c r="K166" s="282"/>
      <c r="L166" s="282"/>
      <c r="M166" s="282"/>
      <c r="N166" s="282"/>
      <c r="O166" s="282"/>
      <c r="P166" s="280"/>
      <c r="Q166" s="282"/>
      <c r="R166" s="127"/>
      <c r="S166" s="282"/>
      <c r="T166" s="84"/>
      <c r="U166" s="34"/>
      <c r="V166" s="34"/>
      <c r="W166" s="34"/>
      <c r="X166" s="42"/>
    </row>
    <row r="167" spans="1:24" s="276" customFormat="1">
      <c r="A167" s="309" t="s">
        <v>24</v>
      </c>
      <c r="B167" s="115"/>
      <c r="C167" s="3073"/>
      <c r="D167" s="116"/>
      <c r="E167" s="284"/>
      <c r="F167" s="116"/>
      <c r="G167" s="284"/>
      <c r="H167" s="117"/>
      <c r="I167" s="284"/>
      <c r="J167" s="117"/>
      <c r="K167" s="284"/>
      <c r="L167" s="117"/>
      <c r="M167" s="284"/>
      <c r="N167" s="117"/>
      <c r="O167" s="284"/>
      <c r="P167" s="118"/>
      <c r="Q167" s="284"/>
      <c r="R167" s="119"/>
      <c r="S167" s="284"/>
      <c r="T167" s="86"/>
      <c r="U167" s="45"/>
      <c r="V167" s="47"/>
      <c r="W167" s="45"/>
      <c r="X167" s="85"/>
    </row>
    <row r="168" spans="1:24" s="276" customFormat="1">
      <c r="A168" s="278" t="s">
        <v>19</v>
      </c>
      <c r="B168" s="279">
        <f>SUM(B169:B171)</f>
        <v>1875.5</v>
      </c>
      <c r="C168" s="3065"/>
      <c r="D168" s="281">
        <f>SUM(D169:D171)</f>
        <v>1860.7</v>
      </c>
      <c r="E168" s="280"/>
      <c r="F168" s="281">
        <f>SUM(F169:F171)</f>
        <v>1780.1</v>
      </c>
      <c r="G168" s="280"/>
      <c r="H168" s="281">
        <f>SUM(H169:H171)</f>
        <v>2019</v>
      </c>
      <c r="I168" s="280"/>
      <c r="J168" s="281">
        <f>SUM(J169:J171)</f>
        <v>2098.8999999999996</v>
      </c>
      <c r="K168" s="280"/>
      <c r="L168" s="281">
        <f>SUM(L169:L171)</f>
        <v>2244.9</v>
      </c>
      <c r="M168" s="280"/>
      <c r="N168" s="281">
        <f>SUM(N169:N171)</f>
        <v>2249</v>
      </c>
      <c r="O168" s="280"/>
      <c r="P168" s="281">
        <f>SUM(P169:P171)</f>
        <v>2252</v>
      </c>
      <c r="Q168" s="280"/>
      <c r="R168" s="122">
        <f>SUM(R169:R171)</f>
        <v>2252</v>
      </c>
      <c r="S168" s="280"/>
      <c r="T168" s="3188">
        <f>(((N168/B168)^(1/6)-1))</f>
        <v>3.0731142052923488E-2</v>
      </c>
      <c r="U168" s="25"/>
      <c r="V168" s="3189">
        <f>(P168-N168)/N168</f>
        <v>1.3339261894175188E-3</v>
      </c>
      <c r="W168" s="25"/>
      <c r="X168" s="3190">
        <f>(R168-P168)/P168</f>
        <v>0</v>
      </c>
    </row>
    <row r="169" spans="1:24" s="276" customFormat="1">
      <c r="A169" s="278" t="s">
        <v>20</v>
      </c>
      <c r="B169" s="344">
        <v>1864.3</v>
      </c>
      <c r="C169" s="1916"/>
      <c r="D169" s="346">
        <v>1851.5</v>
      </c>
      <c r="E169" s="345"/>
      <c r="F169" s="346">
        <v>1771.8</v>
      </c>
      <c r="G169" s="345"/>
      <c r="H169" s="346">
        <v>2005.1</v>
      </c>
      <c r="I169" s="345"/>
      <c r="J169" s="346">
        <v>2080.1999999999998</v>
      </c>
      <c r="K169" s="345"/>
      <c r="L169" s="346">
        <v>2228.27</v>
      </c>
      <c r="M169" s="345"/>
      <c r="N169" s="346">
        <v>2228</v>
      </c>
      <c r="O169" s="345"/>
      <c r="P169" s="347">
        <v>2228</v>
      </c>
      <c r="Q169" s="345"/>
      <c r="R169" s="348">
        <v>2228</v>
      </c>
      <c r="S169" s="282"/>
      <c r="T169" s="3191">
        <f t="shared" ref="T169:T172" si="350">(((N169/B169)^(1/6)-1))</f>
        <v>3.0148650213843053E-2</v>
      </c>
      <c r="U169" s="77"/>
      <c r="V169" s="78">
        <f t="shared" ref="V169:V174" si="351">(P169-N169)/N169</f>
        <v>0</v>
      </c>
      <c r="W169" s="77"/>
      <c r="X169" s="3192">
        <f t="shared" ref="X169:X174" si="352">(R169-P169)/P169</f>
        <v>0</v>
      </c>
    </row>
    <row r="170" spans="1:24" s="276" customFormat="1">
      <c r="A170" s="278" t="s">
        <v>17</v>
      </c>
      <c r="B170" s="344">
        <v>11.2</v>
      </c>
      <c r="C170" s="1916"/>
      <c r="D170" s="346">
        <v>9.1999999999999993</v>
      </c>
      <c r="E170" s="345"/>
      <c r="F170" s="346">
        <v>8.3000000000000007</v>
      </c>
      <c r="G170" s="345"/>
      <c r="H170" s="346">
        <v>13.9</v>
      </c>
      <c r="I170" s="345"/>
      <c r="J170" s="346">
        <v>18.7</v>
      </c>
      <c r="K170" s="345"/>
      <c r="L170" s="346">
        <v>16.63</v>
      </c>
      <c r="M170" s="345"/>
      <c r="N170" s="346">
        <v>21</v>
      </c>
      <c r="O170" s="345"/>
      <c r="P170" s="347">
        <v>24</v>
      </c>
      <c r="Q170" s="345"/>
      <c r="R170" s="348">
        <v>24</v>
      </c>
      <c r="S170" s="282"/>
      <c r="T170" s="3191">
        <f t="shared" si="350"/>
        <v>0.1104530774261625</v>
      </c>
      <c r="U170" s="77"/>
      <c r="V170" s="78">
        <f t="shared" si="351"/>
        <v>0.14285714285714285</v>
      </c>
      <c r="W170" s="77"/>
      <c r="X170" s="3192">
        <f t="shared" si="352"/>
        <v>0</v>
      </c>
    </row>
    <row r="171" spans="1:24" s="276" customFormat="1">
      <c r="A171" s="278" t="s">
        <v>154</v>
      </c>
      <c r="B171" s="344">
        <v>0</v>
      </c>
      <c r="C171" s="1916"/>
      <c r="D171" s="346">
        <v>0</v>
      </c>
      <c r="E171" s="345"/>
      <c r="F171" s="346">
        <v>0</v>
      </c>
      <c r="G171" s="345"/>
      <c r="H171" s="346">
        <v>0</v>
      </c>
      <c r="I171" s="345"/>
      <c r="J171" s="346">
        <v>0</v>
      </c>
      <c r="K171" s="345"/>
      <c r="L171" s="346">
        <v>0</v>
      </c>
      <c r="M171" s="345"/>
      <c r="N171" s="346">
        <v>0</v>
      </c>
      <c r="O171" s="345"/>
      <c r="P171" s="347">
        <v>0</v>
      </c>
      <c r="Q171" s="345"/>
      <c r="R171" s="348">
        <v>0</v>
      </c>
      <c r="S171" s="282"/>
      <c r="T171" s="3191"/>
      <c r="U171" s="77"/>
      <c r="V171" s="78"/>
      <c r="W171" s="77"/>
      <c r="X171" s="3192"/>
    </row>
    <row r="172" spans="1:24" s="276" customFormat="1">
      <c r="A172" s="278" t="s">
        <v>21</v>
      </c>
      <c r="B172" s="279">
        <f>SUM(B173:B175)</f>
        <v>87.100000000000009</v>
      </c>
      <c r="C172" s="3065"/>
      <c r="D172" s="281">
        <f>SUM(D173:D175)</f>
        <v>100.5</v>
      </c>
      <c r="E172" s="280"/>
      <c r="F172" s="281">
        <f>SUM(F173:F175)</f>
        <v>111.9</v>
      </c>
      <c r="G172" s="280"/>
      <c r="H172" s="281">
        <f>SUM(H173:H175)</f>
        <v>112.39999999999999</v>
      </c>
      <c r="I172" s="280"/>
      <c r="J172" s="281">
        <f>SUM(J173:J175)</f>
        <v>90.4</v>
      </c>
      <c r="K172" s="280"/>
      <c r="L172" s="281">
        <f>SUM(L173:L175)</f>
        <v>104.16999999999999</v>
      </c>
      <c r="M172" s="280"/>
      <c r="N172" s="281">
        <f>SUM(N173:N175)</f>
        <v>118</v>
      </c>
      <c r="O172" s="280"/>
      <c r="P172" s="281">
        <f>SUM(P173:P175)</f>
        <v>118</v>
      </c>
      <c r="Q172" s="280"/>
      <c r="R172" s="122">
        <f>SUM(R173:R175)</f>
        <v>118</v>
      </c>
      <c r="S172" s="282"/>
      <c r="T172" s="3197">
        <f t="shared" si="350"/>
        <v>5.1906911711998349E-2</v>
      </c>
      <c r="U172" s="1480"/>
      <c r="V172" s="1479">
        <f t="shared" si="351"/>
        <v>0</v>
      </c>
      <c r="W172" s="1480"/>
      <c r="X172" s="3198">
        <f t="shared" si="352"/>
        <v>0</v>
      </c>
    </row>
    <row r="173" spans="1:24" s="276" customFormat="1">
      <c r="A173" s="278" t="s">
        <v>20</v>
      </c>
      <c r="B173" s="353">
        <v>82.7</v>
      </c>
      <c r="C173" s="1916"/>
      <c r="D173" s="350">
        <v>100.3</v>
      </c>
      <c r="E173" s="349"/>
      <c r="F173" s="350">
        <v>111</v>
      </c>
      <c r="G173" s="349"/>
      <c r="H173" s="350">
        <v>110.1</v>
      </c>
      <c r="I173" s="349"/>
      <c r="J173" s="350">
        <v>88.9</v>
      </c>
      <c r="K173" s="349"/>
      <c r="L173" s="350">
        <v>98.96</v>
      </c>
      <c r="M173" s="349"/>
      <c r="N173" s="350">
        <v>106</v>
      </c>
      <c r="O173" s="349"/>
      <c r="P173" s="351">
        <v>106</v>
      </c>
      <c r="Q173" s="349"/>
      <c r="R173" s="352">
        <v>106</v>
      </c>
      <c r="S173" s="282"/>
      <c r="T173" s="3191">
        <f>(((N173/B173)^(1/6)-1))</f>
        <v>4.223757391963634E-2</v>
      </c>
      <c r="U173" s="77"/>
      <c r="V173" s="78">
        <f t="shared" si="351"/>
        <v>0</v>
      </c>
      <c r="W173" s="77"/>
      <c r="X173" s="3192">
        <f t="shared" si="352"/>
        <v>0</v>
      </c>
    </row>
    <row r="174" spans="1:24" s="276" customFormat="1">
      <c r="A174" s="278" t="s">
        <v>17</v>
      </c>
      <c r="B174" s="353">
        <v>4.4000000000000004</v>
      </c>
      <c r="C174" s="1916"/>
      <c r="D174" s="350">
        <v>0.2</v>
      </c>
      <c r="E174" s="349"/>
      <c r="F174" s="350">
        <v>0.9</v>
      </c>
      <c r="G174" s="349"/>
      <c r="H174" s="350">
        <v>2.2999999999999998</v>
      </c>
      <c r="I174" s="349"/>
      <c r="J174" s="350">
        <v>1.5</v>
      </c>
      <c r="K174" s="349"/>
      <c r="L174" s="350">
        <v>5.21</v>
      </c>
      <c r="M174" s="349"/>
      <c r="N174" s="350">
        <v>12</v>
      </c>
      <c r="O174" s="349"/>
      <c r="P174" s="351">
        <v>12</v>
      </c>
      <c r="Q174" s="349"/>
      <c r="R174" s="352">
        <v>12</v>
      </c>
      <c r="S174" s="282"/>
      <c r="T174" s="3191">
        <f t="shared" ref="T174" si="353">(((N174/B174)^(1/6)-1))</f>
        <v>0.18201075525611987</v>
      </c>
      <c r="U174" s="77"/>
      <c r="V174" s="78">
        <f t="shared" si="351"/>
        <v>0</v>
      </c>
      <c r="W174" s="77"/>
      <c r="X174" s="3192">
        <f t="shared" si="352"/>
        <v>0</v>
      </c>
    </row>
    <row r="175" spans="1:24" s="276" customFormat="1">
      <c r="A175" s="278" t="s">
        <v>154</v>
      </c>
      <c r="B175" s="353">
        <v>0</v>
      </c>
      <c r="C175" s="1916"/>
      <c r="D175" s="350">
        <v>0</v>
      </c>
      <c r="E175" s="349"/>
      <c r="F175" s="350">
        <v>0</v>
      </c>
      <c r="G175" s="349"/>
      <c r="H175" s="350">
        <v>0</v>
      </c>
      <c r="I175" s="349"/>
      <c r="J175" s="350">
        <v>0</v>
      </c>
      <c r="K175" s="349"/>
      <c r="L175" s="350">
        <v>0</v>
      </c>
      <c r="M175" s="349"/>
      <c r="N175" s="350">
        <v>0</v>
      </c>
      <c r="O175" s="349"/>
      <c r="P175" s="351">
        <v>0</v>
      </c>
      <c r="Q175" s="349"/>
      <c r="R175" s="352">
        <v>0</v>
      </c>
      <c r="S175" s="282"/>
      <c r="T175" s="3191"/>
      <c r="U175" s="77"/>
      <c r="V175" s="78"/>
      <c r="W175" s="77"/>
      <c r="X175" s="3192"/>
    </row>
    <row r="176" spans="1:24" s="276" customFormat="1">
      <c r="A176" s="310" t="s">
        <v>22</v>
      </c>
      <c r="B176" s="279">
        <f>SUM(B177:B179)</f>
        <v>0</v>
      </c>
      <c r="C176" s="3065"/>
      <c r="D176" s="281">
        <f>SUM(D177:D179)</f>
        <v>0</v>
      </c>
      <c r="E176" s="280"/>
      <c r="F176" s="281">
        <f>SUM(F177:F179)</f>
        <v>0</v>
      </c>
      <c r="G176" s="280"/>
      <c r="H176" s="281">
        <f>SUM(H177:H179)</f>
        <v>0</v>
      </c>
      <c r="I176" s="280"/>
      <c r="J176" s="281">
        <f>SUM(J177:J179)</f>
        <v>0</v>
      </c>
      <c r="K176" s="280"/>
      <c r="L176" s="281">
        <f>SUM(L177:L179)</f>
        <v>0</v>
      </c>
      <c r="M176" s="280"/>
      <c r="N176" s="281">
        <f>SUM(N177:N179)</f>
        <v>0</v>
      </c>
      <c r="O176" s="280"/>
      <c r="P176" s="281">
        <f>SUM(P177:P179)</f>
        <v>0</v>
      </c>
      <c r="Q176" s="280"/>
      <c r="R176" s="122">
        <f>SUM(R177:R179)</f>
        <v>0</v>
      </c>
      <c r="S176" s="282"/>
      <c r="T176" s="3197">
        <v>0</v>
      </c>
      <c r="U176" s="1480"/>
      <c r="V176" s="1479">
        <v>0</v>
      </c>
      <c r="W176" s="1480"/>
      <c r="X176" s="3198">
        <v>0</v>
      </c>
    </row>
    <row r="177" spans="1:25" s="276" customFormat="1">
      <c r="A177" s="278" t="s">
        <v>20</v>
      </c>
      <c r="B177" s="358">
        <v>0</v>
      </c>
      <c r="C177" s="1916"/>
      <c r="D177" s="359">
        <v>0</v>
      </c>
      <c r="E177" s="354"/>
      <c r="F177" s="359">
        <v>0</v>
      </c>
      <c r="G177" s="354"/>
      <c r="H177" s="359">
        <v>0</v>
      </c>
      <c r="I177" s="354"/>
      <c r="J177" s="359">
        <v>0</v>
      </c>
      <c r="K177" s="354"/>
      <c r="L177" s="355">
        <v>0</v>
      </c>
      <c r="M177" s="354"/>
      <c r="N177" s="355">
        <v>0</v>
      </c>
      <c r="O177" s="354"/>
      <c r="P177" s="356">
        <v>0</v>
      </c>
      <c r="Q177" s="354"/>
      <c r="R177" s="357">
        <v>0</v>
      </c>
      <c r="S177" s="282"/>
      <c r="T177" s="3191"/>
      <c r="U177" s="77"/>
      <c r="V177" s="78"/>
      <c r="W177" s="77"/>
      <c r="X177" s="3192"/>
    </row>
    <row r="178" spans="1:25" s="276" customFormat="1">
      <c r="A178" s="278" t="s">
        <v>17</v>
      </c>
      <c r="B178" s="358">
        <v>0</v>
      </c>
      <c r="C178" s="1916"/>
      <c r="D178" s="359">
        <v>0</v>
      </c>
      <c r="E178" s="354"/>
      <c r="F178" s="359">
        <v>0</v>
      </c>
      <c r="G178" s="354"/>
      <c r="H178" s="359">
        <v>0</v>
      </c>
      <c r="I178" s="354"/>
      <c r="J178" s="359">
        <v>0</v>
      </c>
      <c r="K178" s="354"/>
      <c r="L178" s="355">
        <v>0</v>
      </c>
      <c r="M178" s="354"/>
      <c r="N178" s="355">
        <v>0</v>
      </c>
      <c r="O178" s="354"/>
      <c r="P178" s="356">
        <v>0</v>
      </c>
      <c r="Q178" s="354"/>
      <c r="R178" s="357">
        <v>0</v>
      </c>
      <c r="S178" s="282"/>
      <c r="T178" s="3191"/>
      <c r="U178" s="77"/>
      <c r="V178" s="78"/>
      <c r="W178" s="77"/>
      <c r="X178" s="3192"/>
    </row>
    <row r="179" spans="1:25" s="276" customFormat="1" ht="13.8" thickBot="1">
      <c r="A179" s="102" t="s">
        <v>154</v>
      </c>
      <c r="B179" s="360">
        <v>0</v>
      </c>
      <c r="C179" s="1921"/>
      <c r="D179" s="362">
        <v>0</v>
      </c>
      <c r="E179" s="361"/>
      <c r="F179" s="362">
        <v>0</v>
      </c>
      <c r="G179" s="361"/>
      <c r="H179" s="362">
        <v>0</v>
      </c>
      <c r="I179" s="361"/>
      <c r="J179" s="362">
        <v>0</v>
      </c>
      <c r="K179" s="361"/>
      <c r="L179" s="363">
        <v>0</v>
      </c>
      <c r="M179" s="361"/>
      <c r="N179" s="363">
        <v>0</v>
      </c>
      <c r="O179" s="361"/>
      <c r="P179" s="364">
        <v>0</v>
      </c>
      <c r="Q179" s="361"/>
      <c r="R179" s="365">
        <v>0</v>
      </c>
      <c r="S179" s="283"/>
      <c r="T179" s="3193"/>
      <c r="U179" s="3194"/>
      <c r="V179" s="3195"/>
      <c r="W179" s="3194"/>
      <c r="X179" s="3196"/>
    </row>
    <row r="180" spans="1:25" s="276" customFormat="1" ht="13.8" thickTop="1">
      <c r="A180" s="312" t="s">
        <v>25</v>
      </c>
      <c r="B180" s="123">
        <f>B168+B172+B176</f>
        <v>1962.6</v>
      </c>
      <c r="C180" s="124"/>
      <c r="D180" s="285">
        <f>D168+D172+D176</f>
        <v>1961.2</v>
      </c>
      <c r="E180" s="124"/>
      <c r="F180" s="285">
        <f>F168+F172+F176</f>
        <v>1892</v>
      </c>
      <c r="G180" s="124"/>
      <c r="H180" s="285">
        <f>H168+H172+H176</f>
        <v>2131.4</v>
      </c>
      <c r="I180" s="124"/>
      <c r="J180" s="285">
        <f>J168+J172+J176</f>
        <v>2189.2999999999997</v>
      </c>
      <c r="K180" s="124"/>
      <c r="L180" s="285">
        <f>L168+L172+L176</f>
        <v>2349.0700000000002</v>
      </c>
      <c r="M180" s="124"/>
      <c r="N180" s="285">
        <f>N168+N172+N176</f>
        <v>2367</v>
      </c>
      <c r="O180" s="124"/>
      <c r="P180" s="281">
        <f>P168+P172+P176</f>
        <v>2370</v>
      </c>
      <c r="Q180" s="124"/>
      <c r="R180" s="122">
        <f>R168+R172+R176</f>
        <v>2370</v>
      </c>
      <c r="S180" s="124"/>
      <c r="T180" s="3197">
        <f t="shared" ref="T180" si="354">(((N180/B180)^(1/6)-1))</f>
        <v>3.1718165473157311E-2</v>
      </c>
      <c r="U180" s="1480"/>
      <c r="V180" s="1479">
        <f t="shared" ref="V180" si="355">(P180-N180)/N180</f>
        <v>1.2674271229404308E-3</v>
      </c>
      <c r="W180" s="1480"/>
      <c r="X180" s="3198">
        <f t="shared" ref="X180" si="356">(R180-P180)/P180</f>
        <v>0</v>
      </c>
    </row>
    <row r="181" spans="1:25" s="276" customFormat="1" ht="8.25" customHeight="1" thickBot="1">
      <c r="A181" s="311"/>
      <c r="B181" s="126"/>
      <c r="C181" s="3068"/>
      <c r="D181" s="282"/>
      <c r="E181" s="282"/>
      <c r="F181" s="282"/>
      <c r="G181" s="282"/>
      <c r="H181" s="282"/>
      <c r="I181" s="282"/>
      <c r="J181" s="282"/>
      <c r="K181" s="282"/>
      <c r="L181" s="282"/>
      <c r="M181" s="282"/>
      <c r="N181" s="282"/>
      <c r="O181" s="282"/>
      <c r="P181" s="280"/>
      <c r="Q181" s="282"/>
      <c r="R181" s="127"/>
      <c r="S181" s="282"/>
      <c r="T181" s="84"/>
      <c r="U181" s="34"/>
      <c r="V181" s="34"/>
      <c r="W181" s="34"/>
      <c r="X181" s="42"/>
    </row>
    <row r="182" spans="1:25" s="276" customFormat="1">
      <c r="A182" s="309" t="s">
        <v>78</v>
      </c>
      <c r="B182" s="115"/>
      <c r="C182" s="3073"/>
      <c r="D182" s="116"/>
      <c r="E182" s="284"/>
      <c r="F182" s="116"/>
      <c r="G182" s="284"/>
      <c r="H182" s="117"/>
      <c r="I182" s="284"/>
      <c r="J182" s="117"/>
      <c r="K182" s="284"/>
      <c r="L182" s="117"/>
      <c r="M182" s="284"/>
      <c r="N182" s="117"/>
      <c r="O182" s="284"/>
      <c r="P182" s="118"/>
      <c r="Q182" s="284"/>
      <c r="R182" s="119"/>
      <c r="S182" s="284"/>
      <c r="T182" s="86"/>
      <c r="U182" s="45"/>
      <c r="V182" s="47"/>
      <c r="W182" s="45"/>
      <c r="X182" s="85"/>
    </row>
    <row r="183" spans="1:25" s="276" customFormat="1">
      <c r="A183" s="310" t="s">
        <v>79</v>
      </c>
      <c r="B183" s="430">
        <v>270</v>
      </c>
      <c r="C183" s="703"/>
      <c r="D183" s="432">
        <v>328</v>
      </c>
      <c r="E183" s="431"/>
      <c r="F183" s="432">
        <v>365</v>
      </c>
      <c r="G183" s="431"/>
      <c r="H183" s="433">
        <v>562</v>
      </c>
      <c r="I183" s="431"/>
      <c r="J183" s="433">
        <v>638</v>
      </c>
      <c r="K183" s="400"/>
      <c r="L183" s="433">
        <v>813</v>
      </c>
      <c r="M183" s="280"/>
      <c r="N183" s="1927">
        <v>813</v>
      </c>
      <c r="O183" s="280"/>
      <c r="P183" s="1927">
        <v>813</v>
      </c>
      <c r="Q183" s="280"/>
      <c r="R183" s="1927">
        <v>813</v>
      </c>
      <c r="S183" s="280"/>
      <c r="T183" s="3191">
        <f t="shared" ref="T183:T184" si="357">(((N183/B183)^(1/6)-1))</f>
        <v>0.20167713285571809</v>
      </c>
      <c r="U183" s="77"/>
      <c r="V183" s="78">
        <f t="shared" ref="V183:V184" si="358">(P183-N183)/N183</f>
        <v>0</v>
      </c>
      <c r="W183" s="77"/>
      <c r="X183" s="3192">
        <f t="shared" ref="X183:X184" si="359">(R183-P183)/P183</f>
        <v>0</v>
      </c>
    </row>
    <row r="184" spans="1:25" s="276" customFormat="1" ht="13.8" thickBot="1">
      <c r="A184" s="313" t="s">
        <v>80</v>
      </c>
      <c r="B184" s="435">
        <v>44.9</v>
      </c>
      <c r="C184" s="1929"/>
      <c r="D184" s="437">
        <v>54.7</v>
      </c>
      <c r="E184" s="436"/>
      <c r="F184" s="437">
        <v>63</v>
      </c>
      <c r="G184" s="436"/>
      <c r="H184" s="438">
        <v>93.7</v>
      </c>
      <c r="I184" s="436"/>
      <c r="J184" s="438">
        <v>106.8</v>
      </c>
      <c r="K184" s="439"/>
      <c r="L184" s="438">
        <v>145.80000000000001</v>
      </c>
      <c r="M184" s="97"/>
      <c r="N184" s="1931">
        <v>145.80000000000001</v>
      </c>
      <c r="O184" s="97"/>
      <c r="P184" s="1931">
        <v>145.80000000000001</v>
      </c>
      <c r="Q184" s="97"/>
      <c r="R184" s="1931">
        <v>145.80000000000001</v>
      </c>
      <c r="S184" s="97"/>
      <c r="T184" s="3191">
        <f t="shared" si="357"/>
        <v>0.2168915175596926</v>
      </c>
      <c r="U184" s="77"/>
      <c r="V184" s="78">
        <f t="shared" si="358"/>
        <v>0</v>
      </c>
      <c r="W184" s="77"/>
      <c r="X184" s="3192">
        <f t="shared" si="359"/>
        <v>0</v>
      </c>
      <c r="Y184" s="3259"/>
    </row>
    <row r="185" spans="1:25" s="366" customFormat="1" ht="13.8" thickBot="1">
      <c r="A185" s="111"/>
      <c r="B185" s="112"/>
      <c r="C185" s="112"/>
      <c r="D185" s="112"/>
      <c r="E185" s="112"/>
      <c r="F185" s="113"/>
      <c r="G185" s="112"/>
      <c r="H185" s="112"/>
      <c r="I185" s="112"/>
      <c r="J185" s="112"/>
      <c r="K185" s="112"/>
      <c r="L185" s="112"/>
      <c r="M185" s="112"/>
      <c r="N185" s="112"/>
      <c r="O185" s="112"/>
      <c r="P185" s="112"/>
      <c r="Q185" s="112"/>
      <c r="R185" s="112"/>
      <c r="S185" s="112"/>
      <c r="T185" s="112"/>
      <c r="U185" s="112"/>
      <c r="V185" s="112"/>
      <c r="W185" s="112"/>
      <c r="X185" s="112"/>
    </row>
    <row r="186" spans="1:25" s="367" customFormat="1">
      <c r="A186" s="114" t="s">
        <v>176</v>
      </c>
      <c r="B186" s="376" t="s">
        <v>13</v>
      </c>
      <c r="C186" s="3051"/>
      <c r="D186" s="378" t="s">
        <v>13</v>
      </c>
      <c r="E186" s="377"/>
      <c r="F186" s="379" t="s">
        <v>13</v>
      </c>
      <c r="G186" s="377"/>
      <c r="H186" s="379" t="s">
        <v>13</v>
      </c>
      <c r="I186" s="377"/>
      <c r="J186" s="379" t="s">
        <v>13</v>
      </c>
      <c r="K186" s="377"/>
      <c r="L186" s="380" t="s">
        <v>14</v>
      </c>
      <c r="M186" s="377"/>
      <c r="N186" s="380" t="s">
        <v>15</v>
      </c>
      <c r="O186" s="377"/>
      <c r="P186" s="381" t="s">
        <v>16</v>
      </c>
      <c r="Q186" s="377"/>
      <c r="R186" s="382" t="s">
        <v>16</v>
      </c>
      <c r="S186" s="377"/>
      <c r="T186" s="383" t="s">
        <v>62</v>
      </c>
      <c r="U186" s="384"/>
      <c r="V186" s="385" t="s">
        <v>75</v>
      </c>
      <c r="W186" s="384"/>
      <c r="X186" s="386" t="s">
        <v>75</v>
      </c>
    </row>
    <row r="187" spans="1:25" s="367" customFormat="1" ht="13.8" thickBot="1">
      <c r="A187" s="387"/>
      <c r="B187" s="388" t="s">
        <v>3</v>
      </c>
      <c r="C187" s="3053"/>
      <c r="D187" s="390" t="s">
        <v>4</v>
      </c>
      <c r="E187" s="389"/>
      <c r="F187" s="391" t="s">
        <v>5</v>
      </c>
      <c r="G187" s="389"/>
      <c r="H187" s="392" t="s">
        <v>6</v>
      </c>
      <c r="I187" s="389"/>
      <c r="J187" s="392" t="s">
        <v>7</v>
      </c>
      <c r="K187" s="389"/>
      <c r="L187" s="392" t="s">
        <v>8</v>
      </c>
      <c r="M187" s="389"/>
      <c r="N187" s="392" t="s">
        <v>9</v>
      </c>
      <c r="O187" s="389"/>
      <c r="P187" s="393" t="s">
        <v>10</v>
      </c>
      <c r="Q187" s="389"/>
      <c r="R187" s="394" t="s">
        <v>11</v>
      </c>
      <c r="S187" s="389"/>
      <c r="T187" s="395" t="s">
        <v>63</v>
      </c>
      <c r="U187" s="396"/>
      <c r="V187" s="397" t="s">
        <v>76</v>
      </c>
      <c r="W187" s="396"/>
      <c r="X187" s="398" t="s">
        <v>77</v>
      </c>
    </row>
    <row r="188" spans="1:25" s="366" customFormat="1">
      <c r="A188" s="399" t="s">
        <v>81</v>
      </c>
      <c r="B188" s="115"/>
      <c r="C188" s="3073"/>
      <c r="D188" s="116"/>
      <c r="E188" s="374"/>
      <c r="F188" s="116"/>
      <c r="G188" s="374"/>
      <c r="H188" s="117"/>
      <c r="I188" s="374"/>
      <c r="J188" s="117"/>
      <c r="K188" s="374"/>
      <c r="L188" s="117"/>
      <c r="M188" s="374"/>
      <c r="N188" s="117"/>
      <c r="O188" s="374"/>
      <c r="P188" s="118"/>
      <c r="Q188" s="374"/>
      <c r="R188" s="119"/>
      <c r="S188" s="374"/>
      <c r="T188" s="120"/>
      <c r="U188" s="374"/>
      <c r="V188" s="117"/>
      <c r="W188" s="374"/>
      <c r="X188" s="121"/>
    </row>
    <row r="189" spans="1:25" s="366" customFormat="1">
      <c r="A189" s="368" t="s">
        <v>19</v>
      </c>
      <c r="B189" s="369">
        <f>SUM(B190:B192)</f>
        <v>5769</v>
      </c>
      <c r="C189" s="3065"/>
      <c r="D189" s="371">
        <f>SUM(D190:D192)</f>
        <v>5511</v>
      </c>
      <c r="E189" s="370"/>
      <c r="F189" s="371">
        <f>SUM(F190:F192)</f>
        <v>5597</v>
      </c>
      <c r="G189" s="370"/>
      <c r="H189" s="371">
        <f>SUM(H190:H192)</f>
        <v>6447</v>
      </c>
      <c r="I189" s="370"/>
      <c r="J189" s="371">
        <f>SUM(J190:J192)</f>
        <v>6951</v>
      </c>
      <c r="K189" s="370"/>
      <c r="L189" s="371">
        <f>SUM(L190:L192)</f>
        <v>7047</v>
      </c>
      <c r="M189" s="370"/>
      <c r="N189" s="371">
        <f>SUM(N190:N192)</f>
        <v>7123</v>
      </c>
      <c r="O189" s="370"/>
      <c r="P189" s="371">
        <f>SUM(P190:P192)</f>
        <v>7123</v>
      </c>
      <c r="Q189" s="370"/>
      <c r="R189" s="122">
        <f>SUM(R190:R192)</f>
        <v>7123</v>
      </c>
      <c r="S189" s="370"/>
      <c r="T189" s="3188">
        <f>(((N189/B189)^(1/6)-1))</f>
        <v>3.5763019091496595E-2</v>
      </c>
      <c r="U189" s="25"/>
      <c r="V189" s="3189">
        <f>(P189-N189)/N189</f>
        <v>0</v>
      </c>
      <c r="W189" s="25"/>
      <c r="X189" s="3190">
        <f>(R189-P189)/P189</f>
        <v>0</v>
      </c>
    </row>
    <row r="190" spans="1:25" s="366" customFormat="1">
      <c r="A190" s="368" t="s">
        <v>20</v>
      </c>
      <c r="B190" s="443">
        <v>5675</v>
      </c>
      <c r="C190" s="1902"/>
      <c r="D190" s="445">
        <v>5429</v>
      </c>
      <c r="E190" s="444"/>
      <c r="F190" s="445">
        <v>5507</v>
      </c>
      <c r="G190" s="444"/>
      <c r="H190" s="445">
        <v>6346</v>
      </c>
      <c r="I190" s="444"/>
      <c r="J190" s="445">
        <v>6852</v>
      </c>
      <c r="K190" s="446"/>
      <c r="L190" s="448">
        <v>6925</v>
      </c>
      <c r="M190" s="444"/>
      <c r="N190" s="445">
        <v>7000</v>
      </c>
      <c r="O190" s="444"/>
      <c r="P190" s="445">
        <v>7000</v>
      </c>
      <c r="Q190" s="444"/>
      <c r="R190" s="447">
        <v>7000</v>
      </c>
      <c r="S190" s="372"/>
      <c r="T190" s="3191">
        <f t="shared" ref="T190:T193" si="360">(((N190/B190)^(1/6)-1))</f>
        <v>3.5592021132543117E-2</v>
      </c>
      <c r="U190" s="77"/>
      <c r="V190" s="78">
        <f t="shared" ref="V190:V201" si="361">(P190-N190)/N190</f>
        <v>0</v>
      </c>
      <c r="W190" s="77"/>
      <c r="X190" s="3192">
        <f t="shared" ref="X190:X201" si="362">(R190-P190)/P190</f>
        <v>0</v>
      </c>
    </row>
    <row r="191" spans="1:25" s="366" customFormat="1">
      <c r="A191" s="368" t="s">
        <v>17</v>
      </c>
      <c r="B191" s="443">
        <v>94</v>
      </c>
      <c r="C191" s="1902"/>
      <c r="D191" s="445">
        <v>82</v>
      </c>
      <c r="E191" s="444"/>
      <c r="F191" s="445">
        <v>90</v>
      </c>
      <c r="G191" s="444"/>
      <c r="H191" s="445">
        <v>101</v>
      </c>
      <c r="I191" s="444"/>
      <c r="J191" s="445">
        <v>99</v>
      </c>
      <c r="K191" s="446"/>
      <c r="L191" s="448">
        <v>122</v>
      </c>
      <c r="M191" s="444"/>
      <c r="N191" s="445">
        <v>123</v>
      </c>
      <c r="O191" s="444"/>
      <c r="P191" s="445">
        <v>123</v>
      </c>
      <c r="Q191" s="444"/>
      <c r="R191" s="447">
        <v>123</v>
      </c>
      <c r="S191" s="372"/>
      <c r="T191" s="3191">
        <f t="shared" si="360"/>
        <v>4.5834288242990295E-2</v>
      </c>
      <c r="U191" s="77"/>
      <c r="V191" s="78">
        <f t="shared" si="361"/>
        <v>0</v>
      </c>
      <c r="W191" s="77"/>
      <c r="X191" s="3192">
        <f t="shared" si="362"/>
        <v>0</v>
      </c>
    </row>
    <row r="192" spans="1:25" s="366" customFormat="1">
      <c r="A192" s="368" t="s">
        <v>154</v>
      </c>
      <c r="B192" s="443">
        <v>0</v>
      </c>
      <c r="C192" s="1902"/>
      <c r="D192" s="445">
        <v>0</v>
      </c>
      <c r="E192" s="444"/>
      <c r="F192" s="445">
        <v>0</v>
      </c>
      <c r="G192" s="444"/>
      <c r="H192" s="445">
        <v>0</v>
      </c>
      <c r="I192" s="444"/>
      <c r="J192" s="445">
        <v>0</v>
      </c>
      <c r="K192" s="446"/>
      <c r="L192" s="448">
        <v>0</v>
      </c>
      <c r="M192" s="444"/>
      <c r="N192" s="445">
        <v>0</v>
      </c>
      <c r="O192" s="444"/>
      <c r="P192" s="445">
        <v>0</v>
      </c>
      <c r="Q192" s="444"/>
      <c r="R192" s="447">
        <v>0</v>
      </c>
      <c r="S192" s="372"/>
      <c r="T192" s="3191"/>
      <c r="U192" s="77"/>
      <c r="V192" s="78"/>
      <c r="W192" s="77"/>
      <c r="X192" s="3192"/>
    </row>
    <row r="193" spans="1:24" s="366" customFormat="1">
      <c r="A193" s="368" t="s">
        <v>21</v>
      </c>
      <c r="B193" s="369">
        <f>SUM(B194:B196)</f>
        <v>1102</v>
      </c>
      <c r="C193" s="3065"/>
      <c r="D193" s="371">
        <f>SUM(D194:D196)</f>
        <v>1065</v>
      </c>
      <c r="E193" s="370"/>
      <c r="F193" s="371">
        <f>SUM(F194:F196)</f>
        <v>1072</v>
      </c>
      <c r="G193" s="370"/>
      <c r="H193" s="371">
        <f>SUM(H194:H196)</f>
        <v>1028</v>
      </c>
      <c r="I193" s="370"/>
      <c r="J193" s="371">
        <f>SUM(J194:J196)</f>
        <v>996</v>
      </c>
      <c r="K193" s="370"/>
      <c r="L193" s="371">
        <f>SUM(L194:L196)</f>
        <v>859</v>
      </c>
      <c r="M193" s="370"/>
      <c r="N193" s="371">
        <f>SUM(N194:N196)</f>
        <v>859</v>
      </c>
      <c r="O193" s="370"/>
      <c r="P193" s="371">
        <f>SUM(P194:P196)</f>
        <v>899</v>
      </c>
      <c r="Q193" s="370"/>
      <c r="R193" s="122">
        <f>SUM(R194:R196)</f>
        <v>899</v>
      </c>
      <c r="S193" s="372"/>
      <c r="T193" s="3197">
        <f t="shared" si="360"/>
        <v>-4.0668743063234314E-2</v>
      </c>
      <c r="U193" s="1480"/>
      <c r="V193" s="1479">
        <f t="shared" si="361"/>
        <v>4.6565774155995346E-2</v>
      </c>
      <c r="W193" s="1480"/>
      <c r="X193" s="3198">
        <f t="shared" si="362"/>
        <v>0</v>
      </c>
    </row>
    <row r="194" spans="1:24" s="366" customFormat="1">
      <c r="A194" s="368" t="s">
        <v>20</v>
      </c>
      <c r="B194" s="449">
        <v>1093</v>
      </c>
      <c r="C194" s="1902"/>
      <c r="D194" s="451">
        <v>1050</v>
      </c>
      <c r="E194" s="450"/>
      <c r="F194" s="451">
        <v>1060</v>
      </c>
      <c r="G194" s="450"/>
      <c r="H194" s="451">
        <v>1012</v>
      </c>
      <c r="I194" s="450"/>
      <c r="J194" s="451">
        <v>980</v>
      </c>
      <c r="K194" s="452"/>
      <c r="L194" s="455">
        <v>851</v>
      </c>
      <c r="M194" s="450"/>
      <c r="N194" s="451">
        <v>851</v>
      </c>
      <c r="O194" s="450"/>
      <c r="P194" s="454">
        <v>891</v>
      </c>
      <c r="Q194" s="450"/>
      <c r="R194" s="453">
        <v>891</v>
      </c>
      <c r="S194" s="372"/>
      <c r="T194" s="3191">
        <f>(((N194/B194)^(1/6)-1))</f>
        <v>-4.0853603072886213E-2</v>
      </c>
      <c r="U194" s="77"/>
      <c r="V194" s="78">
        <f t="shared" si="361"/>
        <v>4.700352526439483E-2</v>
      </c>
      <c r="W194" s="77"/>
      <c r="X194" s="3192">
        <f t="shared" si="362"/>
        <v>0</v>
      </c>
    </row>
    <row r="195" spans="1:24" s="366" customFormat="1">
      <c r="A195" s="368" t="s">
        <v>17</v>
      </c>
      <c r="B195" s="449">
        <v>9</v>
      </c>
      <c r="C195" s="1902"/>
      <c r="D195" s="451">
        <v>15</v>
      </c>
      <c r="E195" s="450"/>
      <c r="F195" s="451">
        <v>12</v>
      </c>
      <c r="G195" s="450"/>
      <c r="H195" s="451">
        <v>16</v>
      </c>
      <c r="I195" s="450"/>
      <c r="J195" s="451">
        <v>16</v>
      </c>
      <c r="K195" s="452"/>
      <c r="L195" s="455">
        <v>8</v>
      </c>
      <c r="M195" s="450"/>
      <c r="N195" s="451">
        <v>8</v>
      </c>
      <c r="O195" s="450"/>
      <c r="P195" s="454">
        <v>8</v>
      </c>
      <c r="Q195" s="450"/>
      <c r="R195" s="453">
        <v>8</v>
      </c>
      <c r="S195" s="372"/>
      <c r="T195" s="3191">
        <f t="shared" ref="T195" si="363">(((N195/B195)^(1/6)-1))</f>
        <v>-1.9439082189040002E-2</v>
      </c>
      <c r="U195" s="77"/>
      <c r="V195" s="78">
        <f t="shared" si="361"/>
        <v>0</v>
      </c>
      <c r="W195" s="77"/>
      <c r="X195" s="3192">
        <f t="shared" si="362"/>
        <v>0</v>
      </c>
    </row>
    <row r="196" spans="1:24" s="366" customFormat="1">
      <c r="A196" s="368" t="s">
        <v>154</v>
      </c>
      <c r="B196" s="449">
        <v>0</v>
      </c>
      <c r="C196" s="1902"/>
      <c r="D196" s="451">
        <v>0</v>
      </c>
      <c r="E196" s="450"/>
      <c r="F196" s="451">
        <v>0</v>
      </c>
      <c r="G196" s="450"/>
      <c r="H196" s="451">
        <v>0</v>
      </c>
      <c r="I196" s="450"/>
      <c r="J196" s="451">
        <v>0</v>
      </c>
      <c r="K196" s="452"/>
      <c r="L196" s="455">
        <v>0</v>
      </c>
      <c r="M196" s="450"/>
      <c r="N196" s="451">
        <v>0</v>
      </c>
      <c r="O196" s="450"/>
      <c r="P196" s="454">
        <v>0</v>
      </c>
      <c r="Q196" s="450"/>
      <c r="R196" s="453">
        <v>0</v>
      </c>
      <c r="S196" s="372"/>
      <c r="T196" s="3191"/>
      <c r="U196" s="77"/>
      <c r="V196" s="78"/>
      <c r="W196" s="77"/>
      <c r="X196" s="3192"/>
    </row>
    <row r="197" spans="1:24" s="366" customFormat="1">
      <c r="A197" s="406" t="s">
        <v>22</v>
      </c>
      <c r="B197" s="369">
        <f>SUM(B198:B200)</f>
        <v>0</v>
      </c>
      <c r="C197" s="3065"/>
      <c r="D197" s="371">
        <f>SUM(D198:D200)</f>
        <v>0</v>
      </c>
      <c r="E197" s="370"/>
      <c r="F197" s="371">
        <f>SUM(F198:F200)</f>
        <v>0</v>
      </c>
      <c r="G197" s="370"/>
      <c r="H197" s="371">
        <f>SUM(H198:H200)</f>
        <v>0</v>
      </c>
      <c r="I197" s="370"/>
      <c r="J197" s="371">
        <f>SUM(J198:J200)</f>
        <v>0</v>
      </c>
      <c r="K197" s="370"/>
      <c r="L197" s="371">
        <f>SUM(L198:L200)</f>
        <v>0</v>
      </c>
      <c r="M197" s="370"/>
      <c r="N197" s="371">
        <f>SUM(N198:N200)</f>
        <v>0</v>
      </c>
      <c r="O197" s="370"/>
      <c r="P197" s="371">
        <f>SUM(P198:P200)</f>
        <v>0</v>
      </c>
      <c r="Q197" s="370"/>
      <c r="R197" s="122">
        <f>SUM(R198:R200)</f>
        <v>0</v>
      </c>
      <c r="S197" s="372"/>
      <c r="T197" s="3197">
        <v>0</v>
      </c>
      <c r="U197" s="1480"/>
      <c r="V197" s="1479">
        <v>0</v>
      </c>
      <c r="W197" s="1480"/>
      <c r="X197" s="3198">
        <v>0</v>
      </c>
    </row>
    <row r="198" spans="1:24" s="366" customFormat="1">
      <c r="A198" s="368" t="s">
        <v>20</v>
      </c>
      <c r="B198" s="407">
        <v>0</v>
      </c>
      <c r="C198" s="1902"/>
      <c r="D198" s="408">
        <v>0</v>
      </c>
      <c r="E198" s="401"/>
      <c r="F198" s="408">
        <v>0</v>
      </c>
      <c r="G198" s="401"/>
      <c r="H198" s="408">
        <v>0</v>
      </c>
      <c r="I198" s="401"/>
      <c r="J198" s="408">
        <v>0</v>
      </c>
      <c r="K198" s="403"/>
      <c r="L198" s="440">
        <v>0</v>
      </c>
      <c r="M198" s="401"/>
      <c r="N198" s="402">
        <v>0</v>
      </c>
      <c r="O198" s="401"/>
      <c r="P198" s="405">
        <v>0</v>
      </c>
      <c r="Q198" s="401"/>
      <c r="R198" s="404">
        <v>0</v>
      </c>
      <c r="S198" s="372"/>
      <c r="T198" s="3191"/>
      <c r="U198" s="77"/>
      <c r="V198" s="78"/>
      <c r="W198" s="77"/>
      <c r="X198" s="3192"/>
    </row>
    <row r="199" spans="1:24" s="366" customFormat="1">
      <c r="A199" s="368" t="s">
        <v>17</v>
      </c>
      <c r="B199" s="407">
        <v>0</v>
      </c>
      <c r="C199" s="1902"/>
      <c r="D199" s="408">
        <v>0</v>
      </c>
      <c r="E199" s="401"/>
      <c r="F199" s="408">
        <v>0</v>
      </c>
      <c r="G199" s="401"/>
      <c r="H199" s="408">
        <v>0</v>
      </c>
      <c r="I199" s="401"/>
      <c r="J199" s="408">
        <v>0</v>
      </c>
      <c r="K199" s="403"/>
      <c r="L199" s="440">
        <v>0</v>
      </c>
      <c r="M199" s="401"/>
      <c r="N199" s="402">
        <v>0</v>
      </c>
      <c r="O199" s="401"/>
      <c r="P199" s="405">
        <v>0</v>
      </c>
      <c r="Q199" s="401"/>
      <c r="R199" s="404">
        <v>0</v>
      </c>
      <c r="S199" s="372"/>
      <c r="T199" s="3191"/>
      <c r="U199" s="77"/>
      <c r="V199" s="78"/>
      <c r="W199" s="77"/>
      <c r="X199" s="3192"/>
    </row>
    <row r="200" spans="1:24" s="366" customFormat="1" ht="13.8" thickBot="1">
      <c r="A200" s="102" t="s">
        <v>154</v>
      </c>
      <c r="B200" s="409">
        <v>0</v>
      </c>
      <c r="C200" s="1909"/>
      <c r="D200" s="411">
        <v>0</v>
      </c>
      <c r="E200" s="410"/>
      <c r="F200" s="411">
        <v>0</v>
      </c>
      <c r="G200" s="410"/>
      <c r="H200" s="411">
        <v>0</v>
      </c>
      <c r="I200" s="410"/>
      <c r="J200" s="411">
        <v>0</v>
      </c>
      <c r="K200" s="412"/>
      <c r="L200" s="441">
        <v>0</v>
      </c>
      <c r="M200" s="410"/>
      <c r="N200" s="413">
        <v>0</v>
      </c>
      <c r="O200" s="410"/>
      <c r="P200" s="414">
        <v>0</v>
      </c>
      <c r="Q200" s="410"/>
      <c r="R200" s="415">
        <v>0</v>
      </c>
      <c r="S200" s="373"/>
      <c r="T200" s="3193"/>
      <c r="U200" s="3194"/>
      <c r="V200" s="3195"/>
      <c r="W200" s="3194"/>
      <c r="X200" s="3196"/>
    </row>
    <row r="201" spans="1:24" s="366" customFormat="1" ht="13.8" thickTop="1">
      <c r="A201" s="429" t="s">
        <v>23</v>
      </c>
      <c r="B201" s="123">
        <f>B189+B193+B197</f>
        <v>6871</v>
      </c>
      <c r="C201" s="124"/>
      <c r="D201" s="375">
        <f>D189+D193+D197</f>
        <v>6576</v>
      </c>
      <c r="E201" s="124"/>
      <c r="F201" s="375">
        <f>F189+F193+F197</f>
        <v>6669</v>
      </c>
      <c r="G201" s="124"/>
      <c r="H201" s="375">
        <f>H189+H193+H197</f>
        <v>7475</v>
      </c>
      <c r="I201" s="124"/>
      <c r="J201" s="375">
        <f>J189+J193+J197</f>
        <v>7947</v>
      </c>
      <c r="K201" s="124"/>
      <c r="L201" s="375">
        <f>L189+L193+L197</f>
        <v>7906</v>
      </c>
      <c r="M201" s="124"/>
      <c r="N201" s="375">
        <f>N189+N193+N197</f>
        <v>7982</v>
      </c>
      <c r="O201" s="124"/>
      <c r="P201" s="371">
        <f>P189+P193+P197</f>
        <v>8022</v>
      </c>
      <c r="Q201" s="124"/>
      <c r="R201" s="122">
        <f>R189+R193+R197</f>
        <v>8022</v>
      </c>
      <c r="S201" s="124"/>
      <c r="T201" s="3197">
        <f t="shared" ref="T201" si="364">(((N201/B201)^(1/6)-1))</f>
        <v>2.5294503452204964E-2</v>
      </c>
      <c r="U201" s="1480"/>
      <c r="V201" s="1479">
        <f t="shared" si="361"/>
        <v>5.0112753695815589E-3</v>
      </c>
      <c r="W201" s="1480"/>
      <c r="X201" s="3198">
        <f t="shared" si="362"/>
        <v>0</v>
      </c>
    </row>
    <row r="202" spans="1:24" s="366" customFormat="1" ht="8.25" customHeight="1" thickBot="1">
      <c r="A202" s="416"/>
      <c r="B202" s="126"/>
      <c r="C202" s="3068"/>
      <c r="D202" s="372"/>
      <c r="E202" s="372"/>
      <c r="F202" s="372"/>
      <c r="G202" s="372"/>
      <c r="H202" s="372"/>
      <c r="I202" s="372"/>
      <c r="J202" s="372"/>
      <c r="K202" s="372"/>
      <c r="L202" s="372"/>
      <c r="M202" s="372"/>
      <c r="N202" s="372"/>
      <c r="O202" s="372"/>
      <c r="P202" s="370"/>
      <c r="Q202" s="372"/>
      <c r="R202" s="127"/>
      <c r="S202" s="372"/>
      <c r="T202" s="84"/>
      <c r="U202" s="34"/>
      <c r="V202" s="34"/>
      <c r="W202" s="34"/>
      <c r="X202" s="42"/>
    </row>
    <row r="203" spans="1:24" s="366" customFormat="1">
      <c r="A203" s="399" t="s">
        <v>24</v>
      </c>
      <c r="B203" s="115"/>
      <c r="C203" s="3073"/>
      <c r="D203" s="116"/>
      <c r="E203" s="374"/>
      <c r="F203" s="116"/>
      <c r="G203" s="374"/>
      <c r="H203" s="117"/>
      <c r="I203" s="374"/>
      <c r="J203" s="117"/>
      <c r="K203" s="374"/>
      <c r="L203" s="117"/>
      <c r="M203" s="374"/>
      <c r="N203" s="117"/>
      <c r="O203" s="374"/>
      <c r="P203" s="118"/>
      <c r="Q203" s="374"/>
      <c r="R203" s="119"/>
      <c r="S203" s="374"/>
      <c r="T203" s="86"/>
      <c r="U203" s="45"/>
      <c r="V203" s="47"/>
      <c r="W203" s="45"/>
      <c r="X203" s="85"/>
    </row>
    <row r="204" spans="1:24" s="366" customFormat="1">
      <c r="A204" s="368" t="s">
        <v>19</v>
      </c>
      <c r="B204" s="369">
        <f>SUM(B205:B207)</f>
        <v>3248.9</v>
      </c>
      <c r="C204" s="3065"/>
      <c r="D204" s="371">
        <f>SUM(D205:D207)</f>
        <v>3144.2999999999997</v>
      </c>
      <c r="E204" s="370"/>
      <c r="F204" s="371">
        <f>SUM(F205:F207)</f>
        <v>3307.7000000000003</v>
      </c>
      <c r="G204" s="370"/>
      <c r="H204" s="371">
        <f>SUM(H205:H207)</f>
        <v>3862.2</v>
      </c>
      <c r="I204" s="370"/>
      <c r="J204" s="371">
        <f>SUM(J205:J207)</f>
        <v>4158.1000000000004</v>
      </c>
      <c r="K204" s="370"/>
      <c r="L204" s="371">
        <f>SUM(L205:L207)</f>
        <v>4141.47</v>
      </c>
      <c r="M204" s="370"/>
      <c r="N204" s="371">
        <f>SUM(N205:N207)</f>
        <v>4186</v>
      </c>
      <c r="O204" s="370"/>
      <c r="P204" s="371">
        <f>SUM(P205:P207)</f>
        <v>4186</v>
      </c>
      <c r="Q204" s="370"/>
      <c r="R204" s="122">
        <f>SUM(R205:R207)</f>
        <v>4186</v>
      </c>
      <c r="S204" s="370"/>
      <c r="T204" s="3188">
        <f>(((N204/B204)^(1/6)-1))</f>
        <v>4.3142916505140017E-2</v>
      </c>
      <c r="U204" s="25"/>
      <c r="V204" s="3189">
        <f>(P204-N204)/N204</f>
        <v>0</v>
      </c>
      <c r="W204" s="25"/>
      <c r="X204" s="3190">
        <f>(R204-P204)/P204</f>
        <v>0</v>
      </c>
    </row>
    <row r="205" spans="1:24" s="366" customFormat="1">
      <c r="A205" s="368" t="s">
        <v>20</v>
      </c>
      <c r="B205" s="456">
        <v>3206.1</v>
      </c>
      <c r="C205" s="1916"/>
      <c r="D205" s="458">
        <v>3103.6</v>
      </c>
      <c r="E205" s="457"/>
      <c r="F205" s="458">
        <v>3267.9</v>
      </c>
      <c r="G205" s="457"/>
      <c r="H205" s="458">
        <v>3819.7</v>
      </c>
      <c r="I205" s="457"/>
      <c r="J205" s="458">
        <v>4112.6000000000004</v>
      </c>
      <c r="K205" s="457"/>
      <c r="L205" s="458">
        <v>4087.77</v>
      </c>
      <c r="M205" s="457"/>
      <c r="N205" s="458">
        <v>4132</v>
      </c>
      <c r="O205" s="457"/>
      <c r="P205" s="459">
        <v>4132</v>
      </c>
      <c r="Q205" s="457"/>
      <c r="R205" s="460">
        <v>4132</v>
      </c>
      <c r="S205" s="372"/>
      <c r="T205" s="3191">
        <f t="shared" ref="T205:T208" si="365">(((N205/B205)^(1/6)-1))</f>
        <v>4.3191103784649298E-2</v>
      </c>
      <c r="U205" s="77"/>
      <c r="V205" s="78">
        <f t="shared" ref="V205:V210" si="366">(P205-N205)/N205</f>
        <v>0</v>
      </c>
      <c r="W205" s="77"/>
      <c r="X205" s="3192">
        <f t="shared" ref="X205:X210" si="367">(R205-P205)/P205</f>
        <v>0</v>
      </c>
    </row>
    <row r="206" spans="1:24" s="366" customFormat="1">
      <c r="A206" s="368" t="s">
        <v>17</v>
      </c>
      <c r="B206" s="456">
        <v>42.8</v>
      </c>
      <c r="C206" s="1916"/>
      <c r="D206" s="458">
        <v>40.700000000000003</v>
      </c>
      <c r="E206" s="457"/>
      <c r="F206" s="458">
        <v>39.799999999999997</v>
      </c>
      <c r="G206" s="457"/>
      <c r="H206" s="458">
        <v>42.5</v>
      </c>
      <c r="I206" s="457"/>
      <c r="J206" s="458">
        <v>45.5</v>
      </c>
      <c r="K206" s="457"/>
      <c r="L206" s="458">
        <v>53.7</v>
      </c>
      <c r="M206" s="457"/>
      <c r="N206" s="458">
        <v>54</v>
      </c>
      <c r="O206" s="457"/>
      <c r="P206" s="459">
        <v>54</v>
      </c>
      <c r="Q206" s="457"/>
      <c r="R206" s="460">
        <v>54</v>
      </c>
      <c r="S206" s="372"/>
      <c r="T206" s="3191">
        <f t="shared" si="365"/>
        <v>3.9501208260225074E-2</v>
      </c>
      <c r="U206" s="77"/>
      <c r="V206" s="78">
        <f t="shared" si="366"/>
        <v>0</v>
      </c>
      <c r="W206" s="77"/>
      <c r="X206" s="3192">
        <f t="shared" si="367"/>
        <v>0</v>
      </c>
    </row>
    <row r="207" spans="1:24" s="366" customFormat="1">
      <c r="A207" s="368" t="s">
        <v>154</v>
      </c>
      <c r="B207" s="456">
        <v>0</v>
      </c>
      <c r="C207" s="1916"/>
      <c r="D207" s="458">
        <v>0</v>
      </c>
      <c r="E207" s="457"/>
      <c r="F207" s="458">
        <v>0</v>
      </c>
      <c r="G207" s="457"/>
      <c r="H207" s="458">
        <v>0</v>
      </c>
      <c r="I207" s="457"/>
      <c r="J207" s="458">
        <v>0</v>
      </c>
      <c r="K207" s="457"/>
      <c r="L207" s="458">
        <v>0</v>
      </c>
      <c r="M207" s="457"/>
      <c r="N207" s="458">
        <v>0</v>
      </c>
      <c r="O207" s="457"/>
      <c r="P207" s="459">
        <v>0</v>
      </c>
      <c r="Q207" s="457"/>
      <c r="R207" s="460">
        <v>0</v>
      </c>
      <c r="S207" s="372"/>
      <c r="T207" s="3191"/>
      <c r="U207" s="77"/>
      <c r="V207" s="78"/>
      <c r="W207" s="77"/>
      <c r="X207" s="3192"/>
    </row>
    <row r="208" spans="1:24" s="366" customFormat="1">
      <c r="A208" s="368" t="s">
        <v>21</v>
      </c>
      <c r="B208" s="369">
        <f>SUM(B209:B211)</f>
        <v>416.90000000000003</v>
      </c>
      <c r="C208" s="3065"/>
      <c r="D208" s="371">
        <f>SUM(D209:D211)</f>
        <v>456.59999999999997</v>
      </c>
      <c r="E208" s="370"/>
      <c r="F208" s="371">
        <f>SUM(F209:F211)</f>
        <v>460</v>
      </c>
      <c r="G208" s="370"/>
      <c r="H208" s="371">
        <f>SUM(H209:H211)</f>
        <v>473</v>
      </c>
      <c r="I208" s="370"/>
      <c r="J208" s="371">
        <f>SUM(J209:J211)</f>
        <v>448.6</v>
      </c>
      <c r="K208" s="370"/>
      <c r="L208" s="371">
        <f>SUM(L209:L211)</f>
        <v>387.62</v>
      </c>
      <c r="M208" s="370"/>
      <c r="N208" s="371">
        <f>SUM(N209:N211)</f>
        <v>388</v>
      </c>
      <c r="O208" s="370"/>
      <c r="P208" s="371">
        <f>SUM(P209:P211)</f>
        <v>406</v>
      </c>
      <c r="Q208" s="370"/>
      <c r="R208" s="122">
        <f>SUM(R209:R211)</f>
        <v>406</v>
      </c>
      <c r="S208" s="372"/>
      <c r="T208" s="3197">
        <f t="shared" si="365"/>
        <v>-1.1902110344863437E-2</v>
      </c>
      <c r="U208" s="1480"/>
      <c r="V208" s="1479">
        <f t="shared" si="366"/>
        <v>4.6391752577319589E-2</v>
      </c>
      <c r="W208" s="1480"/>
      <c r="X208" s="3198">
        <f t="shared" si="367"/>
        <v>0</v>
      </c>
    </row>
    <row r="209" spans="1:25" s="366" customFormat="1">
      <c r="A209" s="368" t="s">
        <v>20</v>
      </c>
      <c r="B209" s="465">
        <v>413.8</v>
      </c>
      <c r="C209" s="1916"/>
      <c r="D209" s="462">
        <v>448.4</v>
      </c>
      <c r="E209" s="461"/>
      <c r="F209" s="462">
        <v>453.6</v>
      </c>
      <c r="G209" s="461"/>
      <c r="H209" s="462">
        <v>466.6</v>
      </c>
      <c r="I209" s="461"/>
      <c r="J209" s="462">
        <v>441.6</v>
      </c>
      <c r="K209" s="461"/>
      <c r="L209" s="462">
        <v>382.79</v>
      </c>
      <c r="M209" s="461"/>
      <c r="N209" s="462">
        <v>383</v>
      </c>
      <c r="O209" s="461"/>
      <c r="P209" s="463">
        <v>401</v>
      </c>
      <c r="Q209" s="461"/>
      <c r="R209" s="464">
        <v>401</v>
      </c>
      <c r="S209" s="372"/>
      <c r="T209" s="3191">
        <f>(((N209/B209)^(1/6)-1))</f>
        <v>-1.2808559175238821E-2</v>
      </c>
      <c r="U209" s="77"/>
      <c r="V209" s="78">
        <f t="shared" si="366"/>
        <v>4.6997389033942558E-2</v>
      </c>
      <c r="W209" s="77"/>
      <c r="X209" s="3192">
        <f t="shared" si="367"/>
        <v>0</v>
      </c>
    </row>
    <row r="210" spans="1:25" s="366" customFormat="1">
      <c r="A210" s="368" t="s">
        <v>17</v>
      </c>
      <c r="B210" s="465">
        <v>3.1</v>
      </c>
      <c r="C210" s="1916"/>
      <c r="D210" s="462">
        <v>8.1999999999999993</v>
      </c>
      <c r="E210" s="461"/>
      <c r="F210" s="462">
        <v>6.4</v>
      </c>
      <c r="G210" s="461"/>
      <c r="H210" s="462">
        <v>6.4</v>
      </c>
      <c r="I210" s="461"/>
      <c r="J210" s="462">
        <v>7</v>
      </c>
      <c r="K210" s="461"/>
      <c r="L210" s="462">
        <v>4.83</v>
      </c>
      <c r="M210" s="461"/>
      <c r="N210" s="462">
        <v>5</v>
      </c>
      <c r="O210" s="461"/>
      <c r="P210" s="463">
        <v>5</v>
      </c>
      <c r="Q210" s="461"/>
      <c r="R210" s="464">
        <v>5</v>
      </c>
      <c r="S210" s="372"/>
      <c r="T210" s="3191">
        <f t="shared" ref="T210" si="368">(((N210/B210)^(1/6)-1))</f>
        <v>8.2932493809798169E-2</v>
      </c>
      <c r="U210" s="77"/>
      <c r="V210" s="78">
        <f t="shared" si="366"/>
        <v>0</v>
      </c>
      <c r="W210" s="77"/>
      <c r="X210" s="3192">
        <f t="shared" si="367"/>
        <v>0</v>
      </c>
    </row>
    <row r="211" spans="1:25" s="366" customFormat="1">
      <c r="A211" s="368" t="s">
        <v>154</v>
      </c>
      <c r="B211" s="465">
        <v>0</v>
      </c>
      <c r="C211" s="1916"/>
      <c r="D211" s="462">
        <v>0</v>
      </c>
      <c r="E211" s="461"/>
      <c r="F211" s="462">
        <v>0</v>
      </c>
      <c r="G211" s="461"/>
      <c r="H211" s="462">
        <v>0</v>
      </c>
      <c r="I211" s="461"/>
      <c r="J211" s="462">
        <v>0</v>
      </c>
      <c r="K211" s="461"/>
      <c r="L211" s="462">
        <v>0</v>
      </c>
      <c r="M211" s="461"/>
      <c r="N211" s="462">
        <v>0</v>
      </c>
      <c r="O211" s="461"/>
      <c r="P211" s="463">
        <v>0</v>
      </c>
      <c r="Q211" s="461"/>
      <c r="R211" s="464">
        <v>0</v>
      </c>
      <c r="S211" s="372"/>
      <c r="T211" s="3191"/>
      <c r="U211" s="77"/>
      <c r="V211" s="78"/>
      <c r="W211" s="77"/>
      <c r="X211" s="3192"/>
    </row>
    <row r="212" spans="1:25" s="366" customFormat="1">
      <c r="A212" s="406" t="s">
        <v>22</v>
      </c>
      <c r="B212" s="369">
        <f>SUM(B213:B215)</f>
        <v>0</v>
      </c>
      <c r="C212" s="3065"/>
      <c r="D212" s="371">
        <f>SUM(D213:D215)</f>
        <v>0</v>
      </c>
      <c r="E212" s="370"/>
      <c r="F212" s="371">
        <f>SUM(F213:F215)</f>
        <v>0</v>
      </c>
      <c r="G212" s="370"/>
      <c r="H212" s="371">
        <f>SUM(H213:H215)</f>
        <v>0</v>
      </c>
      <c r="I212" s="370"/>
      <c r="J212" s="371">
        <f>SUM(J213:J215)</f>
        <v>0</v>
      </c>
      <c r="K212" s="370"/>
      <c r="L212" s="371">
        <f>SUM(L213:L215)</f>
        <v>0</v>
      </c>
      <c r="M212" s="370"/>
      <c r="N212" s="371">
        <f>SUM(N213:N215)</f>
        <v>0</v>
      </c>
      <c r="O212" s="370"/>
      <c r="P212" s="371">
        <f>SUM(P213:P215)</f>
        <v>0</v>
      </c>
      <c r="Q212" s="370"/>
      <c r="R212" s="122">
        <f>SUM(R213:R215)</f>
        <v>0</v>
      </c>
      <c r="S212" s="372"/>
      <c r="T212" s="3197">
        <v>0</v>
      </c>
      <c r="U212" s="1480"/>
      <c r="V212" s="1479">
        <v>0</v>
      </c>
      <c r="W212" s="1480"/>
      <c r="X212" s="3198">
        <v>0</v>
      </c>
    </row>
    <row r="213" spans="1:25" s="366" customFormat="1">
      <c r="A213" s="368" t="s">
        <v>20</v>
      </c>
      <c r="B213" s="421">
        <v>0</v>
      </c>
      <c r="C213" s="1916"/>
      <c r="D213" s="422">
        <v>0</v>
      </c>
      <c r="E213" s="417"/>
      <c r="F213" s="422">
        <v>0</v>
      </c>
      <c r="G213" s="417"/>
      <c r="H213" s="422">
        <v>0</v>
      </c>
      <c r="I213" s="417"/>
      <c r="J213" s="422">
        <v>0</v>
      </c>
      <c r="K213" s="417"/>
      <c r="L213" s="418">
        <v>0</v>
      </c>
      <c r="M213" s="417"/>
      <c r="N213" s="418">
        <v>0</v>
      </c>
      <c r="O213" s="417"/>
      <c r="P213" s="419">
        <v>0</v>
      </c>
      <c r="Q213" s="417"/>
      <c r="R213" s="420">
        <v>0</v>
      </c>
      <c r="S213" s="372"/>
      <c r="T213" s="3191"/>
      <c r="U213" s="77"/>
      <c r="V213" s="78"/>
      <c r="W213" s="77"/>
      <c r="X213" s="3192"/>
    </row>
    <row r="214" spans="1:25" s="366" customFormat="1">
      <c r="A214" s="368" t="s">
        <v>17</v>
      </c>
      <c r="B214" s="421">
        <v>0</v>
      </c>
      <c r="C214" s="1916"/>
      <c r="D214" s="422">
        <v>0</v>
      </c>
      <c r="E214" s="417"/>
      <c r="F214" s="422">
        <v>0</v>
      </c>
      <c r="G214" s="417"/>
      <c r="H214" s="422">
        <v>0</v>
      </c>
      <c r="I214" s="417"/>
      <c r="J214" s="422">
        <v>0</v>
      </c>
      <c r="K214" s="417"/>
      <c r="L214" s="418">
        <v>0</v>
      </c>
      <c r="M214" s="417"/>
      <c r="N214" s="418">
        <v>0</v>
      </c>
      <c r="O214" s="417"/>
      <c r="P214" s="419">
        <v>0</v>
      </c>
      <c r="Q214" s="417"/>
      <c r="R214" s="420">
        <v>0</v>
      </c>
      <c r="S214" s="372"/>
      <c r="T214" s="3191"/>
      <c r="U214" s="77"/>
      <c r="V214" s="78"/>
      <c r="W214" s="77"/>
      <c r="X214" s="3192"/>
    </row>
    <row r="215" spans="1:25" s="366" customFormat="1" ht="13.8" thickBot="1">
      <c r="A215" s="102" t="s">
        <v>154</v>
      </c>
      <c r="B215" s="423">
        <v>0</v>
      </c>
      <c r="C215" s="1921"/>
      <c r="D215" s="425">
        <v>0</v>
      </c>
      <c r="E215" s="424"/>
      <c r="F215" s="425">
        <v>0</v>
      </c>
      <c r="G215" s="424"/>
      <c r="H215" s="425">
        <v>0</v>
      </c>
      <c r="I215" s="424"/>
      <c r="J215" s="425">
        <v>0</v>
      </c>
      <c r="K215" s="424"/>
      <c r="L215" s="426">
        <v>0</v>
      </c>
      <c r="M215" s="424"/>
      <c r="N215" s="426">
        <v>0</v>
      </c>
      <c r="O215" s="424"/>
      <c r="P215" s="427">
        <v>0</v>
      </c>
      <c r="Q215" s="424"/>
      <c r="R215" s="428">
        <v>0</v>
      </c>
      <c r="S215" s="373"/>
      <c r="T215" s="3193"/>
      <c r="U215" s="3194"/>
      <c r="V215" s="3195"/>
      <c r="W215" s="3194"/>
      <c r="X215" s="3196"/>
    </row>
    <row r="216" spans="1:25" s="366" customFormat="1" ht="13.8" thickTop="1">
      <c r="A216" s="429" t="s">
        <v>25</v>
      </c>
      <c r="B216" s="123">
        <f>B204+B208+B212</f>
        <v>3665.8</v>
      </c>
      <c r="C216" s="124"/>
      <c r="D216" s="375">
        <f>D204+D208+D212</f>
        <v>3600.8999999999996</v>
      </c>
      <c r="E216" s="124"/>
      <c r="F216" s="375">
        <f>F204+F208+F212</f>
        <v>3767.7000000000003</v>
      </c>
      <c r="G216" s="124"/>
      <c r="H216" s="375">
        <f>H204+H208+H212</f>
        <v>4335.2</v>
      </c>
      <c r="I216" s="124"/>
      <c r="J216" s="375">
        <f>J204+J208+J212</f>
        <v>4606.7000000000007</v>
      </c>
      <c r="K216" s="124"/>
      <c r="L216" s="375">
        <f>L204+L208+L212</f>
        <v>4529.09</v>
      </c>
      <c r="M216" s="124"/>
      <c r="N216" s="375">
        <f>N204+N208+N212</f>
        <v>4574</v>
      </c>
      <c r="O216" s="124"/>
      <c r="P216" s="371">
        <f>P204+P208+P212</f>
        <v>4592</v>
      </c>
      <c r="Q216" s="124"/>
      <c r="R216" s="122">
        <f>R204+R208+R212</f>
        <v>4592</v>
      </c>
      <c r="S216" s="124"/>
      <c r="T216" s="3197">
        <f t="shared" ref="T216" si="369">(((N216/B216)^(1/6)-1))</f>
        <v>3.7579140804997913E-2</v>
      </c>
      <c r="U216" s="1480"/>
      <c r="V216" s="1479">
        <f t="shared" ref="V216" si="370">(P216-N216)/N216</f>
        <v>3.935286401399213E-3</v>
      </c>
      <c r="W216" s="1480"/>
      <c r="X216" s="3198">
        <f t="shared" ref="X216" si="371">(R216-P216)/P216</f>
        <v>0</v>
      </c>
    </row>
    <row r="217" spans="1:25" s="366" customFormat="1" ht="8.25" customHeight="1" thickBot="1">
      <c r="A217" s="416"/>
      <c r="B217" s="126"/>
      <c r="C217" s="3068"/>
      <c r="D217" s="372"/>
      <c r="E217" s="372"/>
      <c r="F217" s="372"/>
      <c r="G217" s="372"/>
      <c r="H217" s="372"/>
      <c r="I217" s="372"/>
      <c r="J217" s="372"/>
      <c r="K217" s="372"/>
      <c r="L217" s="372"/>
      <c r="M217" s="372"/>
      <c r="N217" s="372"/>
      <c r="O217" s="372"/>
      <c r="P217" s="370"/>
      <c r="Q217" s="372"/>
      <c r="R217" s="127"/>
      <c r="S217" s="372"/>
      <c r="T217" s="84"/>
      <c r="U217" s="34"/>
      <c r="V217" s="34"/>
      <c r="W217" s="34"/>
      <c r="X217" s="42"/>
    </row>
    <row r="218" spans="1:25" s="366" customFormat="1">
      <c r="A218" s="399" t="s">
        <v>78</v>
      </c>
      <c r="B218" s="115"/>
      <c r="C218" s="3073"/>
      <c r="D218" s="116"/>
      <c r="E218" s="374"/>
      <c r="F218" s="116"/>
      <c r="G218" s="374"/>
      <c r="H218" s="117"/>
      <c r="I218" s="374"/>
      <c r="J218" s="117"/>
      <c r="K218" s="374"/>
      <c r="L218" s="117"/>
      <c r="M218" s="374"/>
      <c r="N218" s="117"/>
      <c r="O218" s="374"/>
      <c r="P218" s="118"/>
      <c r="Q218" s="374"/>
      <c r="R218" s="119"/>
      <c r="S218" s="374"/>
      <c r="T218" s="86"/>
      <c r="U218" s="45"/>
      <c r="V218" s="47"/>
      <c r="W218" s="45"/>
      <c r="X218" s="85"/>
    </row>
    <row r="219" spans="1:25" s="366" customFormat="1">
      <c r="A219" s="406" t="s">
        <v>79</v>
      </c>
      <c r="B219" s="530">
        <v>45</v>
      </c>
      <c r="C219" s="703"/>
      <c r="D219" s="532">
        <v>69</v>
      </c>
      <c r="E219" s="531"/>
      <c r="F219" s="532">
        <v>72</v>
      </c>
      <c r="G219" s="531"/>
      <c r="H219" s="533">
        <v>227</v>
      </c>
      <c r="I219" s="531"/>
      <c r="J219" s="533">
        <v>309</v>
      </c>
      <c r="K219" s="500"/>
      <c r="L219" s="533">
        <v>338</v>
      </c>
      <c r="M219" s="370"/>
      <c r="N219" s="1927">
        <v>338</v>
      </c>
      <c r="O219" s="370"/>
      <c r="P219" s="1927">
        <v>338</v>
      </c>
      <c r="Q219" s="370"/>
      <c r="R219" s="1927">
        <v>338</v>
      </c>
      <c r="S219" s="370"/>
      <c r="T219" s="3191">
        <f t="shared" ref="T219:T220" si="372">(((N219/B219)^(1/6)-1))</f>
        <v>0.39942844676399303</v>
      </c>
      <c r="U219" s="77"/>
      <c r="V219" s="78">
        <f t="shared" ref="V219:V220" si="373">(P219-N219)/N219</f>
        <v>0</v>
      </c>
      <c r="W219" s="77"/>
      <c r="X219" s="3192">
        <f t="shared" ref="X219:X220" si="374">(R219-P219)/P219</f>
        <v>0</v>
      </c>
    </row>
    <row r="220" spans="1:25" s="366" customFormat="1" ht="13.8" thickBot="1">
      <c r="A220" s="434" t="s">
        <v>80</v>
      </c>
      <c r="B220" s="535">
        <v>7.7</v>
      </c>
      <c r="C220" s="1929"/>
      <c r="D220" s="537">
        <v>10.6</v>
      </c>
      <c r="E220" s="536"/>
      <c r="F220" s="537">
        <v>11</v>
      </c>
      <c r="G220" s="536"/>
      <c r="H220" s="538">
        <v>35.9</v>
      </c>
      <c r="I220" s="536"/>
      <c r="J220" s="538">
        <v>52.5</v>
      </c>
      <c r="K220" s="539"/>
      <c r="L220" s="538">
        <v>47.2</v>
      </c>
      <c r="M220" s="97"/>
      <c r="N220" s="1931">
        <v>47.2</v>
      </c>
      <c r="O220" s="97"/>
      <c r="P220" s="1931">
        <v>47.2</v>
      </c>
      <c r="Q220" s="97"/>
      <c r="R220" s="1931">
        <v>47.2</v>
      </c>
      <c r="S220" s="97"/>
      <c r="T220" s="3191">
        <f t="shared" si="372"/>
        <v>0.35282580538376718</v>
      </c>
      <c r="U220" s="77"/>
      <c r="V220" s="78">
        <f t="shared" si="373"/>
        <v>0</v>
      </c>
      <c r="W220" s="77"/>
      <c r="X220" s="3192">
        <f t="shared" si="374"/>
        <v>0</v>
      </c>
      <c r="Y220" s="3259"/>
    </row>
    <row r="221" spans="1:25" s="466" customFormat="1" ht="13.8" thickBot="1">
      <c r="A221" s="111"/>
      <c r="B221" s="112"/>
      <c r="C221" s="112"/>
      <c r="D221" s="112"/>
      <c r="E221" s="112"/>
      <c r="F221" s="113"/>
      <c r="G221" s="112"/>
      <c r="H221" s="112"/>
      <c r="I221" s="112"/>
      <c r="J221" s="112"/>
      <c r="K221" s="112"/>
      <c r="L221" s="112"/>
      <c r="M221" s="112"/>
      <c r="N221" s="112"/>
      <c r="O221" s="112"/>
      <c r="P221" s="112"/>
      <c r="Q221" s="112"/>
      <c r="R221" s="112"/>
      <c r="S221" s="112"/>
      <c r="T221" s="112"/>
      <c r="U221" s="112"/>
      <c r="V221" s="112"/>
      <c r="W221" s="112"/>
      <c r="X221" s="112"/>
    </row>
    <row r="222" spans="1:25" s="467" customFormat="1">
      <c r="A222" s="114" t="s">
        <v>177</v>
      </c>
      <c r="B222" s="476" t="s">
        <v>13</v>
      </c>
      <c r="C222" s="3051"/>
      <c r="D222" s="478" t="s">
        <v>13</v>
      </c>
      <c r="E222" s="477"/>
      <c r="F222" s="479" t="s">
        <v>13</v>
      </c>
      <c r="G222" s="477"/>
      <c r="H222" s="479" t="s">
        <v>13</v>
      </c>
      <c r="I222" s="477"/>
      <c r="J222" s="479" t="s">
        <v>13</v>
      </c>
      <c r="K222" s="477"/>
      <c r="L222" s="480" t="s">
        <v>14</v>
      </c>
      <c r="M222" s="477"/>
      <c r="N222" s="480" t="s">
        <v>15</v>
      </c>
      <c r="O222" s="477"/>
      <c r="P222" s="481" t="s">
        <v>16</v>
      </c>
      <c r="Q222" s="477"/>
      <c r="R222" s="482" t="s">
        <v>16</v>
      </c>
      <c r="S222" s="477"/>
      <c r="T222" s="483" t="s">
        <v>62</v>
      </c>
      <c r="U222" s="484"/>
      <c r="V222" s="485" t="s">
        <v>75</v>
      </c>
      <c r="W222" s="484"/>
      <c r="X222" s="486" t="s">
        <v>75</v>
      </c>
    </row>
    <row r="223" spans="1:25" s="467" customFormat="1" ht="13.8" thickBot="1">
      <c r="A223" s="487"/>
      <c r="B223" s="488" t="s">
        <v>3</v>
      </c>
      <c r="C223" s="3053"/>
      <c r="D223" s="490" t="s">
        <v>4</v>
      </c>
      <c r="E223" s="489"/>
      <c r="F223" s="491" t="s">
        <v>5</v>
      </c>
      <c r="G223" s="489"/>
      <c r="H223" s="492" t="s">
        <v>6</v>
      </c>
      <c r="I223" s="489"/>
      <c r="J223" s="492" t="s">
        <v>7</v>
      </c>
      <c r="K223" s="489"/>
      <c r="L223" s="492" t="s">
        <v>8</v>
      </c>
      <c r="M223" s="489"/>
      <c r="N223" s="492" t="s">
        <v>9</v>
      </c>
      <c r="O223" s="489"/>
      <c r="P223" s="493" t="s">
        <v>10</v>
      </c>
      <c r="Q223" s="489"/>
      <c r="R223" s="494" t="s">
        <v>11</v>
      </c>
      <c r="S223" s="489"/>
      <c r="T223" s="495" t="s">
        <v>63</v>
      </c>
      <c r="U223" s="496"/>
      <c r="V223" s="497" t="s">
        <v>76</v>
      </c>
      <c r="W223" s="496"/>
      <c r="X223" s="498" t="s">
        <v>77</v>
      </c>
    </row>
    <row r="224" spans="1:25" s="466" customFormat="1">
      <c r="A224" s="499" t="s">
        <v>81</v>
      </c>
      <c r="B224" s="115"/>
      <c r="C224" s="3073"/>
      <c r="D224" s="116"/>
      <c r="E224" s="474"/>
      <c r="F224" s="116"/>
      <c r="G224" s="474"/>
      <c r="H224" s="117"/>
      <c r="I224" s="474"/>
      <c r="J224" s="117"/>
      <c r="K224" s="474"/>
      <c r="L224" s="117"/>
      <c r="M224" s="474"/>
      <c r="N224" s="117"/>
      <c r="O224" s="474"/>
      <c r="P224" s="118"/>
      <c r="Q224" s="474"/>
      <c r="R224" s="119"/>
      <c r="S224" s="474"/>
      <c r="T224" s="120"/>
      <c r="U224" s="474"/>
      <c r="V224" s="117"/>
      <c r="W224" s="474"/>
      <c r="X224" s="121"/>
    </row>
    <row r="225" spans="1:24" s="466" customFormat="1">
      <c r="A225" s="468" t="s">
        <v>19</v>
      </c>
      <c r="B225" s="469">
        <f>SUM(B226:B228)</f>
        <v>8330</v>
      </c>
      <c r="C225" s="3065"/>
      <c r="D225" s="471">
        <f>SUM(D226:D228)</f>
        <v>8342</v>
      </c>
      <c r="E225" s="470"/>
      <c r="F225" s="471">
        <f>SUM(F226:F228)</f>
        <v>8899</v>
      </c>
      <c r="G225" s="470"/>
      <c r="H225" s="471">
        <f>SUM(H226:H228)</f>
        <v>9797</v>
      </c>
      <c r="I225" s="470"/>
      <c r="J225" s="471">
        <f>SUM(J226:J228)</f>
        <v>9914</v>
      </c>
      <c r="K225" s="470"/>
      <c r="L225" s="471">
        <f>SUM(L226:L228)</f>
        <v>9536</v>
      </c>
      <c r="M225" s="470"/>
      <c r="N225" s="471">
        <f>SUM(N226:N228)</f>
        <v>9535</v>
      </c>
      <c r="O225" s="470"/>
      <c r="P225" s="471">
        <f>SUM(P226:P228)</f>
        <v>9535</v>
      </c>
      <c r="Q225" s="470"/>
      <c r="R225" s="122">
        <f>SUM(R226:R228)</f>
        <v>9535</v>
      </c>
      <c r="S225" s="470"/>
      <c r="T225" s="3188">
        <f>(((N225/B225)^(1/6)-1))</f>
        <v>2.277306598448936E-2</v>
      </c>
      <c r="U225" s="25"/>
      <c r="V225" s="3189">
        <f>(P225-N225)/N225</f>
        <v>0</v>
      </c>
      <c r="W225" s="25"/>
      <c r="X225" s="3190">
        <f>(R225-P225)/P225</f>
        <v>0</v>
      </c>
    </row>
    <row r="226" spans="1:24" s="466" customFormat="1">
      <c r="A226" s="468" t="s">
        <v>20</v>
      </c>
      <c r="B226" s="542">
        <v>7880</v>
      </c>
      <c r="C226" s="1902"/>
      <c r="D226" s="544">
        <v>7893</v>
      </c>
      <c r="E226" s="543"/>
      <c r="F226" s="544">
        <v>8450</v>
      </c>
      <c r="G226" s="543"/>
      <c r="H226" s="544">
        <v>9283</v>
      </c>
      <c r="I226" s="543"/>
      <c r="J226" s="544">
        <v>9392</v>
      </c>
      <c r="K226" s="545"/>
      <c r="L226" s="547">
        <v>9064</v>
      </c>
      <c r="M226" s="543"/>
      <c r="N226" s="544">
        <v>9063</v>
      </c>
      <c r="O226" s="543"/>
      <c r="P226" s="544">
        <v>9063</v>
      </c>
      <c r="Q226" s="543"/>
      <c r="R226" s="546">
        <v>9063</v>
      </c>
      <c r="S226" s="472"/>
      <c r="T226" s="3191">
        <f t="shared" ref="T226:T229" si="375">(((N226/B226)^(1/6)-1))</f>
        <v>2.3585897513296539E-2</v>
      </c>
      <c r="U226" s="77"/>
      <c r="V226" s="78">
        <f t="shared" ref="V226:V237" si="376">(P226-N226)/N226</f>
        <v>0</v>
      </c>
      <c r="W226" s="77"/>
      <c r="X226" s="3192">
        <f t="shared" ref="X226:X237" si="377">(R226-P226)/P226</f>
        <v>0</v>
      </c>
    </row>
    <row r="227" spans="1:24" s="466" customFormat="1">
      <c r="A227" s="468" t="s">
        <v>17</v>
      </c>
      <c r="B227" s="542">
        <v>450</v>
      </c>
      <c r="C227" s="1902"/>
      <c r="D227" s="544">
        <v>449</v>
      </c>
      <c r="E227" s="543"/>
      <c r="F227" s="544">
        <v>449</v>
      </c>
      <c r="G227" s="543"/>
      <c r="H227" s="544">
        <v>514</v>
      </c>
      <c r="I227" s="543"/>
      <c r="J227" s="544">
        <v>522</v>
      </c>
      <c r="K227" s="545"/>
      <c r="L227" s="547">
        <v>472</v>
      </c>
      <c r="M227" s="543"/>
      <c r="N227" s="544">
        <v>472</v>
      </c>
      <c r="O227" s="543"/>
      <c r="P227" s="544">
        <v>472</v>
      </c>
      <c r="Q227" s="543"/>
      <c r="R227" s="546">
        <v>472</v>
      </c>
      <c r="S227" s="472"/>
      <c r="T227" s="3191">
        <f t="shared" si="375"/>
        <v>7.9869607519267305E-3</v>
      </c>
      <c r="U227" s="77"/>
      <c r="V227" s="78">
        <f t="shared" si="376"/>
        <v>0</v>
      </c>
      <c r="W227" s="77"/>
      <c r="X227" s="3192">
        <f t="shared" si="377"/>
        <v>0</v>
      </c>
    </row>
    <row r="228" spans="1:24" s="466" customFormat="1">
      <c r="A228" s="468" t="s">
        <v>154</v>
      </c>
      <c r="B228" s="542">
        <v>0</v>
      </c>
      <c r="C228" s="1902"/>
      <c r="D228" s="544">
        <v>0</v>
      </c>
      <c r="E228" s="543"/>
      <c r="F228" s="544">
        <v>0</v>
      </c>
      <c r="G228" s="543"/>
      <c r="H228" s="544">
        <v>0</v>
      </c>
      <c r="I228" s="543"/>
      <c r="J228" s="544">
        <v>0</v>
      </c>
      <c r="K228" s="545"/>
      <c r="L228" s="547">
        <v>0</v>
      </c>
      <c r="M228" s="543"/>
      <c r="N228" s="544">
        <v>0</v>
      </c>
      <c r="O228" s="543"/>
      <c r="P228" s="544">
        <v>0</v>
      </c>
      <c r="Q228" s="543"/>
      <c r="R228" s="546">
        <v>0</v>
      </c>
      <c r="S228" s="472"/>
      <c r="T228" s="3191"/>
      <c r="U228" s="77"/>
      <c r="V228" s="78"/>
      <c r="W228" s="77"/>
      <c r="X228" s="3192"/>
    </row>
    <row r="229" spans="1:24" s="466" customFormat="1">
      <c r="A229" s="468" t="s">
        <v>21</v>
      </c>
      <c r="B229" s="469">
        <f>SUM(B230:B232)</f>
        <v>1756</v>
      </c>
      <c r="C229" s="3065"/>
      <c r="D229" s="471">
        <f>SUM(D230:D232)</f>
        <v>1727</v>
      </c>
      <c r="E229" s="470"/>
      <c r="F229" s="471">
        <f>SUM(F230:F232)</f>
        <v>1492</v>
      </c>
      <c r="G229" s="470"/>
      <c r="H229" s="471">
        <f>SUM(H230:H232)</f>
        <v>1397</v>
      </c>
      <c r="I229" s="470"/>
      <c r="J229" s="471">
        <f>SUM(J230:J232)</f>
        <v>1098</v>
      </c>
      <c r="K229" s="470"/>
      <c r="L229" s="471">
        <f>SUM(L230:L232)</f>
        <v>933</v>
      </c>
      <c r="M229" s="470"/>
      <c r="N229" s="471">
        <f>SUM(N230:N232)</f>
        <v>934</v>
      </c>
      <c r="O229" s="470"/>
      <c r="P229" s="471">
        <f>SUM(P230:P232)</f>
        <v>969</v>
      </c>
      <c r="Q229" s="470"/>
      <c r="R229" s="122">
        <f>SUM(R230:R232)</f>
        <v>969</v>
      </c>
      <c r="S229" s="472"/>
      <c r="T229" s="3197">
        <f t="shared" si="375"/>
        <v>-9.9873127361137071E-2</v>
      </c>
      <c r="U229" s="1480"/>
      <c r="V229" s="1479">
        <f t="shared" si="376"/>
        <v>3.7473233404710919E-2</v>
      </c>
      <c r="W229" s="1480"/>
      <c r="X229" s="3198">
        <f t="shared" si="377"/>
        <v>0</v>
      </c>
    </row>
    <row r="230" spans="1:24" s="466" customFormat="1">
      <c r="A230" s="468" t="s">
        <v>20</v>
      </c>
      <c r="B230" s="548">
        <v>1554</v>
      </c>
      <c r="C230" s="1902"/>
      <c r="D230" s="550">
        <v>1558</v>
      </c>
      <c r="E230" s="549"/>
      <c r="F230" s="550">
        <v>1334</v>
      </c>
      <c r="G230" s="549"/>
      <c r="H230" s="550">
        <v>1244</v>
      </c>
      <c r="I230" s="549"/>
      <c r="J230" s="550">
        <v>948</v>
      </c>
      <c r="K230" s="551"/>
      <c r="L230" s="554">
        <v>805</v>
      </c>
      <c r="M230" s="549"/>
      <c r="N230" s="550">
        <v>805</v>
      </c>
      <c r="O230" s="549"/>
      <c r="P230" s="553">
        <v>840</v>
      </c>
      <c r="Q230" s="549"/>
      <c r="R230" s="552">
        <v>840</v>
      </c>
      <c r="S230" s="472"/>
      <c r="T230" s="3191">
        <f>(((N230/B230)^(1/6)-1))</f>
        <v>-0.10382915496233336</v>
      </c>
      <c r="U230" s="77"/>
      <c r="V230" s="78">
        <f t="shared" si="376"/>
        <v>4.3478260869565216E-2</v>
      </c>
      <c r="W230" s="77"/>
      <c r="X230" s="3192">
        <f t="shared" si="377"/>
        <v>0</v>
      </c>
    </row>
    <row r="231" spans="1:24" s="466" customFormat="1">
      <c r="A231" s="468" t="s">
        <v>17</v>
      </c>
      <c r="B231" s="548">
        <v>202</v>
      </c>
      <c r="C231" s="1902"/>
      <c r="D231" s="550">
        <v>169</v>
      </c>
      <c r="E231" s="549"/>
      <c r="F231" s="550">
        <v>158</v>
      </c>
      <c r="G231" s="549"/>
      <c r="H231" s="550">
        <v>153</v>
      </c>
      <c r="I231" s="549"/>
      <c r="J231" s="550">
        <v>150</v>
      </c>
      <c r="K231" s="551"/>
      <c r="L231" s="554">
        <v>128</v>
      </c>
      <c r="M231" s="549"/>
      <c r="N231" s="550">
        <v>129</v>
      </c>
      <c r="O231" s="549"/>
      <c r="P231" s="553">
        <v>129</v>
      </c>
      <c r="Q231" s="549"/>
      <c r="R231" s="552">
        <v>129</v>
      </c>
      <c r="S231" s="472"/>
      <c r="T231" s="3191">
        <f t="shared" ref="T231" si="378">(((N231/B231)^(1/6)-1))</f>
        <v>-7.201763428606911E-2</v>
      </c>
      <c r="U231" s="77"/>
      <c r="V231" s="78">
        <f t="shared" si="376"/>
        <v>0</v>
      </c>
      <c r="W231" s="77"/>
      <c r="X231" s="3192">
        <f t="shared" si="377"/>
        <v>0</v>
      </c>
    </row>
    <row r="232" spans="1:24" s="466" customFormat="1">
      <c r="A232" s="468" t="s">
        <v>154</v>
      </c>
      <c r="B232" s="548">
        <v>0</v>
      </c>
      <c r="C232" s="1902"/>
      <c r="D232" s="550">
        <v>0</v>
      </c>
      <c r="E232" s="549"/>
      <c r="F232" s="550">
        <v>0</v>
      </c>
      <c r="G232" s="549"/>
      <c r="H232" s="550">
        <v>0</v>
      </c>
      <c r="I232" s="549"/>
      <c r="J232" s="550">
        <v>0</v>
      </c>
      <c r="K232" s="551"/>
      <c r="L232" s="554">
        <v>0</v>
      </c>
      <c r="M232" s="549"/>
      <c r="N232" s="550">
        <v>0</v>
      </c>
      <c r="O232" s="549"/>
      <c r="P232" s="553">
        <v>0</v>
      </c>
      <c r="Q232" s="549"/>
      <c r="R232" s="552">
        <v>0</v>
      </c>
      <c r="S232" s="472"/>
      <c r="T232" s="3191"/>
      <c r="U232" s="77"/>
      <c r="V232" s="78"/>
      <c r="W232" s="77"/>
      <c r="X232" s="3192"/>
    </row>
    <row r="233" spans="1:24" s="466" customFormat="1">
      <c r="A233" s="506" t="s">
        <v>22</v>
      </c>
      <c r="B233" s="469">
        <f>SUM(B234:B236)</f>
        <v>0</v>
      </c>
      <c r="C233" s="3065"/>
      <c r="D233" s="471">
        <f>SUM(D234:D236)</f>
        <v>0</v>
      </c>
      <c r="E233" s="470"/>
      <c r="F233" s="471">
        <f>SUM(F234:F236)</f>
        <v>0</v>
      </c>
      <c r="G233" s="470"/>
      <c r="H233" s="471">
        <f>SUM(H234:H236)</f>
        <v>0</v>
      </c>
      <c r="I233" s="470"/>
      <c r="J233" s="471">
        <f>SUM(J234:J236)</f>
        <v>0</v>
      </c>
      <c r="K233" s="470"/>
      <c r="L233" s="471">
        <f>SUM(L234:L236)</f>
        <v>0</v>
      </c>
      <c r="M233" s="470"/>
      <c r="N233" s="471">
        <f>SUM(N234:N236)</f>
        <v>0</v>
      </c>
      <c r="O233" s="470"/>
      <c r="P233" s="471">
        <f>SUM(P234:P236)</f>
        <v>0</v>
      </c>
      <c r="Q233" s="470"/>
      <c r="R233" s="122">
        <f>SUM(R234:R236)</f>
        <v>0</v>
      </c>
      <c r="S233" s="472"/>
      <c r="T233" s="3197">
        <v>0</v>
      </c>
      <c r="U233" s="1480"/>
      <c r="V233" s="1479">
        <v>0</v>
      </c>
      <c r="W233" s="1480"/>
      <c r="X233" s="3198">
        <v>0</v>
      </c>
    </row>
    <row r="234" spans="1:24" s="466" customFormat="1">
      <c r="A234" s="468" t="s">
        <v>20</v>
      </c>
      <c r="B234" s="507">
        <v>0</v>
      </c>
      <c r="C234" s="1902"/>
      <c r="D234" s="508">
        <v>0</v>
      </c>
      <c r="E234" s="501"/>
      <c r="F234" s="508">
        <v>0</v>
      </c>
      <c r="G234" s="501"/>
      <c r="H234" s="508">
        <v>0</v>
      </c>
      <c r="I234" s="501"/>
      <c r="J234" s="508">
        <v>0</v>
      </c>
      <c r="K234" s="503"/>
      <c r="L234" s="540">
        <v>0</v>
      </c>
      <c r="M234" s="501"/>
      <c r="N234" s="502">
        <v>0</v>
      </c>
      <c r="O234" s="501"/>
      <c r="P234" s="505">
        <v>0</v>
      </c>
      <c r="Q234" s="501"/>
      <c r="R234" s="504">
        <v>0</v>
      </c>
      <c r="S234" s="472"/>
      <c r="T234" s="3191"/>
      <c r="U234" s="77"/>
      <c r="V234" s="78"/>
      <c r="W234" s="77"/>
      <c r="X234" s="3192"/>
    </row>
    <row r="235" spans="1:24" s="466" customFormat="1">
      <c r="A235" s="468" t="s">
        <v>17</v>
      </c>
      <c r="B235" s="507">
        <v>0</v>
      </c>
      <c r="C235" s="1902"/>
      <c r="D235" s="508">
        <v>0</v>
      </c>
      <c r="E235" s="501"/>
      <c r="F235" s="508">
        <v>0</v>
      </c>
      <c r="G235" s="501"/>
      <c r="H235" s="508">
        <v>0</v>
      </c>
      <c r="I235" s="501"/>
      <c r="J235" s="508">
        <v>0</v>
      </c>
      <c r="K235" s="503"/>
      <c r="L235" s="540">
        <v>0</v>
      </c>
      <c r="M235" s="501"/>
      <c r="N235" s="502">
        <v>0</v>
      </c>
      <c r="O235" s="501"/>
      <c r="P235" s="505">
        <v>0</v>
      </c>
      <c r="Q235" s="501"/>
      <c r="R235" s="504">
        <v>0</v>
      </c>
      <c r="S235" s="472"/>
      <c r="T235" s="3191"/>
      <c r="U235" s="77"/>
      <c r="V235" s="78"/>
      <c r="W235" s="77"/>
      <c r="X235" s="3192"/>
    </row>
    <row r="236" spans="1:24" s="466" customFormat="1" ht="13.8" thickBot="1">
      <c r="A236" s="102" t="s">
        <v>154</v>
      </c>
      <c r="B236" s="509">
        <v>0</v>
      </c>
      <c r="C236" s="1909"/>
      <c r="D236" s="511">
        <v>0</v>
      </c>
      <c r="E236" s="510"/>
      <c r="F236" s="511">
        <v>0</v>
      </c>
      <c r="G236" s="510"/>
      <c r="H236" s="511">
        <v>0</v>
      </c>
      <c r="I236" s="510"/>
      <c r="J236" s="511">
        <v>0</v>
      </c>
      <c r="K236" s="512"/>
      <c r="L236" s="541">
        <v>0</v>
      </c>
      <c r="M236" s="510"/>
      <c r="N236" s="513">
        <v>0</v>
      </c>
      <c r="O236" s="510"/>
      <c r="P236" s="514">
        <v>0</v>
      </c>
      <c r="Q236" s="510"/>
      <c r="R236" s="515">
        <v>0</v>
      </c>
      <c r="S236" s="473"/>
      <c r="T236" s="3193"/>
      <c r="U236" s="3194"/>
      <c r="V236" s="3195"/>
      <c r="W236" s="3194"/>
      <c r="X236" s="3196"/>
    </row>
    <row r="237" spans="1:24" s="466" customFormat="1" ht="13.8" thickTop="1">
      <c r="A237" s="529" t="s">
        <v>23</v>
      </c>
      <c r="B237" s="123">
        <f>B225+B229+B233</f>
        <v>10086</v>
      </c>
      <c r="C237" s="124"/>
      <c r="D237" s="475">
        <f>D225+D229+D233</f>
        <v>10069</v>
      </c>
      <c r="E237" s="124"/>
      <c r="F237" s="475">
        <f>F225+F229+F233</f>
        <v>10391</v>
      </c>
      <c r="G237" s="124"/>
      <c r="H237" s="475">
        <f>H225+H229+H233</f>
        <v>11194</v>
      </c>
      <c r="I237" s="124"/>
      <c r="J237" s="475">
        <f>J225+J229+J233</f>
        <v>11012</v>
      </c>
      <c r="K237" s="124"/>
      <c r="L237" s="475">
        <f>L225+L229+L233</f>
        <v>10469</v>
      </c>
      <c r="M237" s="124"/>
      <c r="N237" s="475">
        <f>N225+N229+N233</f>
        <v>10469</v>
      </c>
      <c r="O237" s="124"/>
      <c r="P237" s="471">
        <f>P225+P229+P233</f>
        <v>10504</v>
      </c>
      <c r="Q237" s="124"/>
      <c r="R237" s="122">
        <f>R225+R229+R233</f>
        <v>10504</v>
      </c>
      <c r="S237" s="124"/>
      <c r="T237" s="3197">
        <f t="shared" ref="T237" si="379">(((N237/B237)^(1/6)-1))</f>
        <v>6.2310302161003861E-3</v>
      </c>
      <c r="U237" s="1480"/>
      <c r="V237" s="1479">
        <f t="shared" si="376"/>
        <v>3.3432037443881938E-3</v>
      </c>
      <c r="W237" s="1480"/>
      <c r="X237" s="3198">
        <f t="shared" si="377"/>
        <v>0</v>
      </c>
    </row>
    <row r="238" spans="1:24" s="466" customFormat="1" ht="8.25" customHeight="1" thickBot="1">
      <c r="A238" s="516"/>
      <c r="B238" s="126"/>
      <c r="C238" s="3068"/>
      <c r="D238" s="472"/>
      <c r="E238" s="472"/>
      <c r="F238" s="472"/>
      <c r="G238" s="472"/>
      <c r="H238" s="472"/>
      <c r="I238" s="472"/>
      <c r="J238" s="472"/>
      <c r="K238" s="472"/>
      <c r="L238" s="472"/>
      <c r="M238" s="472"/>
      <c r="N238" s="472"/>
      <c r="O238" s="472"/>
      <c r="P238" s="470"/>
      <c r="Q238" s="472"/>
      <c r="R238" s="127"/>
      <c r="S238" s="472"/>
      <c r="T238" s="84"/>
      <c r="U238" s="34"/>
      <c r="V238" s="34"/>
      <c r="W238" s="34"/>
      <c r="X238" s="42"/>
    </row>
    <row r="239" spans="1:24" s="466" customFormat="1">
      <c r="A239" s="499" t="s">
        <v>24</v>
      </c>
      <c r="B239" s="115"/>
      <c r="C239" s="3073"/>
      <c r="D239" s="116"/>
      <c r="E239" s="474"/>
      <c r="F239" s="116"/>
      <c r="G239" s="474"/>
      <c r="H239" s="117"/>
      <c r="I239" s="474"/>
      <c r="J239" s="117"/>
      <c r="K239" s="474"/>
      <c r="L239" s="117"/>
      <c r="M239" s="474"/>
      <c r="N239" s="117"/>
      <c r="O239" s="474"/>
      <c r="P239" s="118"/>
      <c r="Q239" s="474"/>
      <c r="R239" s="119"/>
      <c r="S239" s="474"/>
      <c r="T239" s="86"/>
      <c r="U239" s="45"/>
      <c r="V239" s="47"/>
      <c r="W239" s="45"/>
      <c r="X239" s="85"/>
    </row>
    <row r="240" spans="1:24" s="466" customFormat="1">
      <c r="A240" s="468" t="s">
        <v>19</v>
      </c>
      <c r="B240" s="469">
        <f>SUM(B241:B243)</f>
        <v>4454.5999999999995</v>
      </c>
      <c r="C240" s="3065"/>
      <c r="D240" s="471">
        <f>SUM(D241:D243)</f>
        <v>4479.2</v>
      </c>
      <c r="E240" s="470"/>
      <c r="F240" s="471">
        <f>SUM(F241:F243)</f>
        <v>4807</v>
      </c>
      <c r="G240" s="470"/>
      <c r="H240" s="471">
        <f>SUM(H241:H243)</f>
        <v>5379.6</v>
      </c>
      <c r="I240" s="470"/>
      <c r="J240" s="471">
        <f>SUM(J241:J243)</f>
        <v>5536.7</v>
      </c>
      <c r="K240" s="470"/>
      <c r="L240" s="471">
        <f>SUM(L241:L243)</f>
        <v>5343.3600000000006</v>
      </c>
      <c r="M240" s="470"/>
      <c r="N240" s="471">
        <f>SUM(N241:N243)</f>
        <v>5343</v>
      </c>
      <c r="O240" s="470"/>
      <c r="P240" s="471">
        <f>SUM(P241:P243)</f>
        <v>5343</v>
      </c>
      <c r="Q240" s="470"/>
      <c r="R240" s="122">
        <f>SUM(R241:R243)</f>
        <v>5343</v>
      </c>
      <c r="S240" s="470"/>
      <c r="T240" s="3188">
        <f>(((N240/B240)^(1/6)-1))</f>
        <v>3.0772310346097065E-2</v>
      </c>
      <c r="U240" s="25"/>
      <c r="V240" s="3189">
        <f>(P240-N240)/N240</f>
        <v>0</v>
      </c>
      <c r="W240" s="25"/>
      <c r="X240" s="3190">
        <f>(R240-P240)/P240</f>
        <v>0</v>
      </c>
    </row>
    <row r="241" spans="1:25" s="466" customFormat="1">
      <c r="A241" s="468" t="s">
        <v>20</v>
      </c>
      <c r="B241" s="555">
        <v>4207.7</v>
      </c>
      <c r="C241" s="1916"/>
      <c r="D241" s="557">
        <v>4227.7</v>
      </c>
      <c r="E241" s="556"/>
      <c r="F241" s="557">
        <v>4536.3999999999996</v>
      </c>
      <c r="G241" s="556"/>
      <c r="H241" s="557">
        <v>5073.6000000000004</v>
      </c>
      <c r="I241" s="556"/>
      <c r="J241" s="557">
        <v>5232.7</v>
      </c>
      <c r="K241" s="556"/>
      <c r="L241" s="557">
        <v>5044.43</v>
      </c>
      <c r="M241" s="556"/>
      <c r="N241" s="557">
        <v>5044</v>
      </c>
      <c r="O241" s="556"/>
      <c r="P241" s="558">
        <v>5044</v>
      </c>
      <c r="Q241" s="556"/>
      <c r="R241" s="559">
        <v>5044</v>
      </c>
      <c r="S241" s="472"/>
      <c r="T241" s="3191">
        <f t="shared" ref="T241:T244" si="380">(((N241/B241)^(1/6)-1))</f>
        <v>3.0674943922404774E-2</v>
      </c>
      <c r="U241" s="77"/>
      <c r="V241" s="78">
        <f t="shared" ref="V241:V246" si="381">(P241-N241)/N241</f>
        <v>0</v>
      </c>
      <c r="W241" s="77"/>
      <c r="X241" s="3192">
        <f t="shared" ref="X241:X246" si="382">(R241-P241)/P241</f>
        <v>0</v>
      </c>
    </row>
    <row r="242" spans="1:25" s="466" customFormat="1">
      <c r="A242" s="468" t="s">
        <v>17</v>
      </c>
      <c r="B242" s="555">
        <v>246.9</v>
      </c>
      <c r="C242" s="1916"/>
      <c r="D242" s="557">
        <v>251.5</v>
      </c>
      <c r="E242" s="556"/>
      <c r="F242" s="557">
        <v>270.60000000000002</v>
      </c>
      <c r="G242" s="556"/>
      <c r="H242" s="557">
        <v>306</v>
      </c>
      <c r="I242" s="556"/>
      <c r="J242" s="557">
        <v>304</v>
      </c>
      <c r="K242" s="556"/>
      <c r="L242" s="557">
        <v>298.93</v>
      </c>
      <c r="M242" s="556"/>
      <c r="N242" s="557">
        <v>299</v>
      </c>
      <c r="O242" s="556"/>
      <c r="P242" s="558">
        <v>299</v>
      </c>
      <c r="Q242" s="556"/>
      <c r="R242" s="559">
        <v>299</v>
      </c>
      <c r="S242" s="472"/>
      <c r="T242" s="3191">
        <f t="shared" si="380"/>
        <v>3.2424613374542943E-2</v>
      </c>
      <c r="U242" s="77"/>
      <c r="V242" s="78">
        <f t="shared" si="381"/>
        <v>0</v>
      </c>
      <c r="W242" s="77"/>
      <c r="X242" s="3192">
        <f t="shared" si="382"/>
        <v>0</v>
      </c>
    </row>
    <row r="243" spans="1:25" s="466" customFormat="1">
      <c r="A243" s="468" t="s">
        <v>154</v>
      </c>
      <c r="B243" s="555">
        <v>0</v>
      </c>
      <c r="C243" s="1916"/>
      <c r="D243" s="557">
        <v>0</v>
      </c>
      <c r="E243" s="556"/>
      <c r="F243" s="557">
        <v>0</v>
      </c>
      <c r="G243" s="556"/>
      <c r="H243" s="557">
        <v>0</v>
      </c>
      <c r="I243" s="556"/>
      <c r="J243" s="557">
        <v>0</v>
      </c>
      <c r="K243" s="556"/>
      <c r="L243" s="557">
        <v>0</v>
      </c>
      <c r="M243" s="556"/>
      <c r="N243" s="557">
        <v>0</v>
      </c>
      <c r="O243" s="556"/>
      <c r="P243" s="558">
        <v>0</v>
      </c>
      <c r="Q243" s="556"/>
      <c r="R243" s="559">
        <v>0</v>
      </c>
      <c r="S243" s="472"/>
      <c r="T243" s="3191"/>
      <c r="U243" s="77"/>
      <c r="V243" s="78"/>
      <c r="W243" s="77"/>
      <c r="X243" s="3192"/>
    </row>
    <row r="244" spans="1:25" s="466" customFormat="1">
      <c r="A244" s="468" t="s">
        <v>21</v>
      </c>
      <c r="B244" s="469">
        <f>SUM(B245:B247)</f>
        <v>657.59999999999991</v>
      </c>
      <c r="C244" s="3065"/>
      <c r="D244" s="471">
        <f>SUM(D245:D247)</f>
        <v>664.2</v>
      </c>
      <c r="E244" s="470"/>
      <c r="F244" s="471">
        <f>SUM(F245:F247)</f>
        <v>599.9</v>
      </c>
      <c r="G244" s="470"/>
      <c r="H244" s="471">
        <f>SUM(H245:H247)</f>
        <v>586.6</v>
      </c>
      <c r="I244" s="470"/>
      <c r="J244" s="471">
        <f>SUM(J245:J247)</f>
        <v>490</v>
      </c>
      <c r="K244" s="470"/>
      <c r="L244" s="471">
        <f>SUM(L245:L247)</f>
        <v>418.53999999999996</v>
      </c>
      <c r="M244" s="470"/>
      <c r="N244" s="471">
        <f>SUM(N245:N247)</f>
        <v>419</v>
      </c>
      <c r="O244" s="470"/>
      <c r="P244" s="471">
        <f>SUM(P245:P247)</f>
        <v>434</v>
      </c>
      <c r="Q244" s="470"/>
      <c r="R244" s="122">
        <f>SUM(R245:R247)</f>
        <v>434</v>
      </c>
      <c r="S244" s="472"/>
      <c r="T244" s="3197">
        <f t="shared" si="380"/>
        <v>-7.2368752064170039E-2</v>
      </c>
      <c r="U244" s="1480"/>
      <c r="V244" s="1479">
        <f t="shared" si="381"/>
        <v>3.5799522673031027E-2</v>
      </c>
      <c r="W244" s="1480"/>
      <c r="X244" s="3198">
        <f t="shared" si="382"/>
        <v>0</v>
      </c>
    </row>
    <row r="245" spans="1:25" s="466" customFormat="1">
      <c r="A245" s="468" t="s">
        <v>20</v>
      </c>
      <c r="B245" s="564">
        <v>559.79999999999995</v>
      </c>
      <c r="C245" s="1916"/>
      <c r="D245" s="561">
        <v>565.5</v>
      </c>
      <c r="E245" s="560"/>
      <c r="F245" s="561">
        <v>506.2</v>
      </c>
      <c r="G245" s="560"/>
      <c r="H245" s="561">
        <v>490.3</v>
      </c>
      <c r="I245" s="560"/>
      <c r="J245" s="561">
        <v>405.9</v>
      </c>
      <c r="K245" s="560"/>
      <c r="L245" s="561">
        <v>344.83</v>
      </c>
      <c r="M245" s="560"/>
      <c r="N245" s="561">
        <v>345</v>
      </c>
      <c r="O245" s="560"/>
      <c r="P245" s="562">
        <v>360</v>
      </c>
      <c r="Q245" s="560"/>
      <c r="R245" s="563">
        <v>360</v>
      </c>
      <c r="S245" s="472"/>
      <c r="T245" s="3191">
        <f>(((N245/B245)^(1/6)-1))</f>
        <v>-7.7504265268098949E-2</v>
      </c>
      <c r="U245" s="77"/>
      <c r="V245" s="78">
        <f t="shared" si="381"/>
        <v>4.3478260869565216E-2</v>
      </c>
      <c r="W245" s="77"/>
      <c r="X245" s="3192">
        <f t="shared" si="382"/>
        <v>0</v>
      </c>
    </row>
    <row r="246" spans="1:25" s="466" customFormat="1">
      <c r="A246" s="468" t="s">
        <v>17</v>
      </c>
      <c r="B246" s="564">
        <v>97.8</v>
      </c>
      <c r="C246" s="1916"/>
      <c r="D246" s="561">
        <v>98.7</v>
      </c>
      <c r="E246" s="560"/>
      <c r="F246" s="561">
        <v>93.7</v>
      </c>
      <c r="G246" s="560"/>
      <c r="H246" s="561">
        <v>96.3</v>
      </c>
      <c r="I246" s="560"/>
      <c r="J246" s="561">
        <v>84.1</v>
      </c>
      <c r="K246" s="560"/>
      <c r="L246" s="561">
        <v>73.709999999999994</v>
      </c>
      <c r="M246" s="560"/>
      <c r="N246" s="561">
        <v>74</v>
      </c>
      <c r="O246" s="560"/>
      <c r="P246" s="562">
        <v>74</v>
      </c>
      <c r="Q246" s="560"/>
      <c r="R246" s="563">
        <v>74</v>
      </c>
      <c r="S246" s="472"/>
      <c r="T246" s="3191">
        <f t="shared" ref="T246" si="383">(((N246/B246)^(1/6)-1))</f>
        <v>-4.5413083876626459E-2</v>
      </c>
      <c r="U246" s="77"/>
      <c r="V246" s="78">
        <f t="shared" si="381"/>
        <v>0</v>
      </c>
      <c r="W246" s="77"/>
      <c r="X246" s="3192">
        <f t="shared" si="382"/>
        <v>0</v>
      </c>
    </row>
    <row r="247" spans="1:25" s="466" customFormat="1">
      <c r="A247" s="468" t="s">
        <v>154</v>
      </c>
      <c r="B247" s="564">
        <v>0</v>
      </c>
      <c r="C247" s="1916"/>
      <c r="D247" s="561">
        <v>0</v>
      </c>
      <c r="E247" s="560"/>
      <c r="F247" s="561">
        <v>0</v>
      </c>
      <c r="G247" s="560"/>
      <c r="H247" s="561">
        <v>0</v>
      </c>
      <c r="I247" s="560"/>
      <c r="J247" s="561">
        <v>0</v>
      </c>
      <c r="K247" s="560"/>
      <c r="L247" s="561">
        <v>0</v>
      </c>
      <c r="M247" s="560"/>
      <c r="N247" s="561">
        <v>0</v>
      </c>
      <c r="O247" s="560"/>
      <c r="P247" s="562">
        <v>0</v>
      </c>
      <c r="Q247" s="560"/>
      <c r="R247" s="563">
        <v>0</v>
      </c>
      <c r="S247" s="472"/>
      <c r="T247" s="3191"/>
      <c r="U247" s="77"/>
      <c r="V247" s="78"/>
      <c r="W247" s="77"/>
      <c r="X247" s="3192"/>
    </row>
    <row r="248" spans="1:25" s="466" customFormat="1">
      <c r="A248" s="506" t="s">
        <v>22</v>
      </c>
      <c r="B248" s="469">
        <f>SUM(B249:B251)</f>
        <v>0</v>
      </c>
      <c r="C248" s="3065"/>
      <c r="D248" s="471">
        <f>SUM(D249:D251)</f>
        <v>0</v>
      </c>
      <c r="E248" s="470"/>
      <c r="F248" s="471">
        <f>SUM(F249:F251)</f>
        <v>0</v>
      </c>
      <c r="G248" s="470"/>
      <c r="H248" s="471">
        <f>SUM(H249:H251)</f>
        <v>0</v>
      </c>
      <c r="I248" s="470"/>
      <c r="J248" s="471">
        <f>SUM(J249:J251)</f>
        <v>0</v>
      </c>
      <c r="K248" s="470"/>
      <c r="L248" s="471">
        <f>SUM(L249:L251)</f>
        <v>0</v>
      </c>
      <c r="M248" s="470"/>
      <c r="N248" s="471">
        <f>SUM(N249:N251)</f>
        <v>0</v>
      </c>
      <c r="O248" s="470"/>
      <c r="P248" s="471">
        <f>SUM(P249:P251)</f>
        <v>0</v>
      </c>
      <c r="Q248" s="470"/>
      <c r="R248" s="122">
        <f>SUM(R249:R251)</f>
        <v>0</v>
      </c>
      <c r="S248" s="472"/>
      <c r="T248" s="3197">
        <v>0</v>
      </c>
      <c r="U248" s="1480"/>
      <c r="V248" s="1479">
        <v>0</v>
      </c>
      <c r="W248" s="1480"/>
      <c r="X248" s="3198">
        <v>0</v>
      </c>
    </row>
    <row r="249" spans="1:25" s="466" customFormat="1">
      <c r="A249" s="468" t="s">
        <v>20</v>
      </c>
      <c r="B249" s="521">
        <v>0</v>
      </c>
      <c r="C249" s="1916"/>
      <c r="D249" s="522">
        <v>0</v>
      </c>
      <c r="E249" s="517"/>
      <c r="F249" s="522">
        <v>0</v>
      </c>
      <c r="G249" s="517"/>
      <c r="H249" s="522">
        <v>0</v>
      </c>
      <c r="I249" s="517"/>
      <c r="J249" s="522">
        <v>0</v>
      </c>
      <c r="K249" s="517"/>
      <c r="L249" s="518">
        <v>0</v>
      </c>
      <c r="M249" s="517"/>
      <c r="N249" s="518">
        <v>0</v>
      </c>
      <c r="O249" s="517"/>
      <c r="P249" s="519">
        <v>0</v>
      </c>
      <c r="Q249" s="517"/>
      <c r="R249" s="520">
        <v>0</v>
      </c>
      <c r="S249" s="472"/>
      <c r="T249" s="3191"/>
      <c r="U249" s="77"/>
      <c r="V249" s="78"/>
      <c r="W249" s="77"/>
      <c r="X249" s="3192"/>
    </row>
    <row r="250" spans="1:25" s="466" customFormat="1">
      <c r="A250" s="468" t="s">
        <v>17</v>
      </c>
      <c r="B250" s="521">
        <v>0</v>
      </c>
      <c r="C250" s="1916"/>
      <c r="D250" s="522">
        <v>0</v>
      </c>
      <c r="E250" s="517"/>
      <c r="F250" s="522">
        <v>0</v>
      </c>
      <c r="G250" s="517"/>
      <c r="H250" s="522">
        <v>0</v>
      </c>
      <c r="I250" s="517"/>
      <c r="J250" s="522">
        <v>0</v>
      </c>
      <c r="K250" s="517"/>
      <c r="L250" s="518">
        <v>0</v>
      </c>
      <c r="M250" s="517"/>
      <c r="N250" s="518">
        <v>0</v>
      </c>
      <c r="O250" s="517"/>
      <c r="P250" s="519">
        <v>0</v>
      </c>
      <c r="Q250" s="517"/>
      <c r="R250" s="520">
        <v>0</v>
      </c>
      <c r="S250" s="472"/>
      <c r="T250" s="3191"/>
      <c r="U250" s="77"/>
      <c r="V250" s="78"/>
      <c r="W250" s="77"/>
      <c r="X250" s="3192"/>
    </row>
    <row r="251" spans="1:25" s="466" customFormat="1" ht="13.8" thickBot="1">
      <c r="A251" s="102" t="s">
        <v>154</v>
      </c>
      <c r="B251" s="523">
        <v>0</v>
      </c>
      <c r="C251" s="1921"/>
      <c r="D251" s="525">
        <v>0</v>
      </c>
      <c r="E251" s="524"/>
      <c r="F251" s="525">
        <v>0</v>
      </c>
      <c r="G251" s="524"/>
      <c r="H251" s="525">
        <v>0</v>
      </c>
      <c r="I251" s="524"/>
      <c r="J251" s="525">
        <v>0</v>
      </c>
      <c r="K251" s="524"/>
      <c r="L251" s="526">
        <v>0</v>
      </c>
      <c r="M251" s="524"/>
      <c r="N251" s="526">
        <v>0</v>
      </c>
      <c r="O251" s="524"/>
      <c r="P251" s="527">
        <v>0</v>
      </c>
      <c r="Q251" s="524"/>
      <c r="R251" s="528">
        <v>0</v>
      </c>
      <c r="S251" s="473"/>
      <c r="T251" s="3193"/>
      <c r="U251" s="3194"/>
      <c r="V251" s="3195"/>
      <c r="W251" s="3194"/>
      <c r="X251" s="3196"/>
    </row>
    <row r="252" spans="1:25" s="466" customFormat="1" ht="13.8" thickTop="1">
      <c r="A252" s="529" t="s">
        <v>25</v>
      </c>
      <c r="B252" s="123">
        <f>B240+B244+B248</f>
        <v>5112.1999999999989</v>
      </c>
      <c r="C252" s="124"/>
      <c r="D252" s="475">
        <f>D240+D244+D248</f>
        <v>5143.3999999999996</v>
      </c>
      <c r="E252" s="124"/>
      <c r="F252" s="475">
        <f>F240+F244+F248</f>
        <v>5406.9</v>
      </c>
      <c r="G252" s="124"/>
      <c r="H252" s="475">
        <f>H240+H244+H248</f>
        <v>5966.2000000000007</v>
      </c>
      <c r="I252" s="124"/>
      <c r="J252" s="475">
        <f>J240+J244+J248</f>
        <v>6026.7</v>
      </c>
      <c r="K252" s="124"/>
      <c r="L252" s="475">
        <f>L240+L244+L248</f>
        <v>5761.9000000000005</v>
      </c>
      <c r="M252" s="124"/>
      <c r="N252" s="475">
        <f>N240+N244+N248</f>
        <v>5762</v>
      </c>
      <c r="O252" s="124"/>
      <c r="P252" s="471">
        <f>P240+P244+P248</f>
        <v>5777</v>
      </c>
      <c r="Q252" s="124"/>
      <c r="R252" s="122">
        <f>R240+R244+R248</f>
        <v>5777</v>
      </c>
      <c r="S252" s="124"/>
      <c r="T252" s="3197">
        <f t="shared" ref="T252" si="384">(((N252/B252)^(1/6)-1))</f>
        <v>2.0142645574054541E-2</v>
      </c>
      <c r="U252" s="1480"/>
      <c r="V252" s="1479">
        <f t="shared" ref="V252" si="385">(P252-N252)/N252</f>
        <v>2.6032627559875042E-3</v>
      </c>
      <c r="W252" s="1480"/>
      <c r="X252" s="3198">
        <f t="shared" ref="X252" si="386">(R252-P252)/P252</f>
        <v>0</v>
      </c>
    </row>
    <row r="253" spans="1:25" s="466" customFormat="1" ht="8.25" customHeight="1" thickBot="1">
      <c r="A253" s="516"/>
      <c r="B253" s="126"/>
      <c r="C253" s="3068"/>
      <c r="D253" s="472"/>
      <c r="E253" s="472"/>
      <c r="F253" s="472"/>
      <c r="G253" s="472"/>
      <c r="H253" s="472"/>
      <c r="I253" s="472"/>
      <c r="J253" s="472"/>
      <c r="K253" s="472"/>
      <c r="L253" s="472"/>
      <c r="M253" s="472"/>
      <c r="N253" s="472"/>
      <c r="O253" s="472"/>
      <c r="P253" s="470"/>
      <c r="Q253" s="472"/>
      <c r="R253" s="127"/>
      <c r="S253" s="472"/>
      <c r="T253" s="84"/>
      <c r="U253" s="34"/>
      <c r="V253" s="34"/>
      <c r="W253" s="34"/>
      <c r="X253" s="42"/>
    </row>
    <row r="254" spans="1:25" s="466" customFormat="1">
      <c r="A254" s="499" t="s">
        <v>78</v>
      </c>
      <c r="B254" s="115"/>
      <c r="C254" s="3073"/>
      <c r="D254" s="116"/>
      <c r="E254" s="474"/>
      <c r="F254" s="116"/>
      <c r="G254" s="474"/>
      <c r="H254" s="117"/>
      <c r="I254" s="474"/>
      <c r="J254" s="117"/>
      <c r="K254" s="474"/>
      <c r="L254" s="117"/>
      <c r="M254" s="474"/>
      <c r="N254" s="117"/>
      <c r="O254" s="474"/>
      <c r="P254" s="118"/>
      <c r="Q254" s="474"/>
      <c r="R254" s="119"/>
      <c r="S254" s="474"/>
      <c r="T254" s="86"/>
      <c r="U254" s="45"/>
      <c r="V254" s="47"/>
      <c r="W254" s="45"/>
      <c r="X254" s="85"/>
    </row>
    <row r="255" spans="1:25" s="466" customFormat="1">
      <c r="A255" s="506" t="s">
        <v>79</v>
      </c>
      <c r="B255" s="629">
        <v>558</v>
      </c>
      <c r="C255" s="703"/>
      <c r="D255" s="631">
        <v>679</v>
      </c>
      <c r="E255" s="630"/>
      <c r="F255" s="631">
        <v>856</v>
      </c>
      <c r="G255" s="630"/>
      <c r="H255" s="632">
        <v>1052</v>
      </c>
      <c r="I255" s="630"/>
      <c r="J255" s="632">
        <v>1273</v>
      </c>
      <c r="K255" s="599"/>
      <c r="L255" s="632">
        <v>1559</v>
      </c>
      <c r="M255" s="470"/>
      <c r="N255" s="1927">
        <v>1559</v>
      </c>
      <c r="O255" s="470"/>
      <c r="P255" s="1927">
        <v>1559</v>
      </c>
      <c r="Q255" s="470"/>
      <c r="R255" s="1927">
        <v>1559</v>
      </c>
      <c r="S255" s="470"/>
      <c r="T255" s="3191">
        <f t="shared" ref="T255:T256" si="387">(((N255/B255)^(1/6)-1))</f>
        <v>0.1867757203120668</v>
      </c>
      <c r="U255" s="77"/>
      <c r="V255" s="78">
        <f t="shared" ref="V255:V256" si="388">(P255-N255)/N255</f>
        <v>0</v>
      </c>
      <c r="W255" s="77"/>
      <c r="X255" s="3192">
        <f t="shared" ref="X255:X256" si="389">(R255-P255)/P255</f>
        <v>0</v>
      </c>
    </row>
    <row r="256" spans="1:25" s="466" customFormat="1" ht="13.8" thickBot="1">
      <c r="A256" s="534" t="s">
        <v>80</v>
      </c>
      <c r="B256" s="634">
        <v>100.3</v>
      </c>
      <c r="C256" s="1929"/>
      <c r="D256" s="636">
        <v>126.9</v>
      </c>
      <c r="E256" s="635"/>
      <c r="F256" s="636">
        <v>155.1</v>
      </c>
      <c r="G256" s="635"/>
      <c r="H256" s="637">
        <v>188</v>
      </c>
      <c r="I256" s="635"/>
      <c r="J256" s="637">
        <v>240.1</v>
      </c>
      <c r="K256" s="638"/>
      <c r="L256" s="637">
        <v>283.89999999999998</v>
      </c>
      <c r="M256" s="97"/>
      <c r="N256" s="1931">
        <v>283.89999999999998</v>
      </c>
      <c r="O256" s="97"/>
      <c r="P256" s="1931">
        <v>283.89999999999998</v>
      </c>
      <c r="Q256" s="97"/>
      <c r="R256" s="1931">
        <v>283.89999999999998</v>
      </c>
      <c r="S256" s="97"/>
      <c r="T256" s="3191">
        <f t="shared" si="387"/>
        <v>0.1893529202710853</v>
      </c>
      <c r="U256" s="77"/>
      <c r="V256" s="78">
        <f t="shared" si="388"/>
        <v>0</v>
      </c>
      <c r="W256" s="77"/>
      <c r="X256" s="3192">
        <f t="shared" si="389"/>
        <v>0</v>
      </c>
      <c r="Y256" s="3259"/>
    </row>
    <row r="257" spans="1:24" s="565" customFormat="1" ht="13.8" thickBot="1">
      <c r="A257" s="111"/>
      <c r="B257" s="112"/>
      <c r="C257" s="112"/>
      <c r="D257" s="112"/>
      <c r="E257" s="112"/>
      <c r="F257" s="113"/>
      <c r="G257" s="112"/>
      <c r="H257" s="112"/>
      <c r="I257" s="112"/>
      <c r="J257" s="112"/>
      <c r="K257" s="112"/>
      <c r="L257" s="112"/>
      <c r="M257" s="112"/>
      <c r="N257" s="112"/>
      <c r="O257" s="112"/>
      <c r="P257" s="112"/>
      <c r="Q257" s="112"/>
      <c r="R257" s="112"/>
      <c r="S257" s="112"/>
      <c r="T257" s="112"/>
      <c r="U257" s="112"/>
      <c r="V257" s="112"/>
      <c r="W257" s="112"/>
      <c r="X257" s="112"/>
    </row>
    <row r="258" spans="1:24" s="566" customFormat="1">
      <c r="A258" s="114" t="s">
        <v>178</v>
      </c>
      <c r="B258" s="575" t="s">
        <v>13</v>
      </c>
      <c r="C258" s="3051"/>
      <c r="D258" s="577" t="s">
        <v>13</v>
      </c>
      <c r="E258" s="576"/>
      <c r="F258" s="578" t="s">
        <v>13</v>
      </c>
      <c r="G258" s="576"/>
      <c r="H258" s="578" t="s">
        <v>13</v>
      </c>
      <c r="I258" s="576"/>
      <c r="J258" s="578" t="s">
        <v>13</v>
      </c>
      <c r="K258" s="576"/>
      <c r="L258" s="579" t="s">
        <v>14</v>
      </c>
      <c r="M258" s="576"/>
      <c r="N258" s="579" t="s">
        <v>15</v>
      </c>
      <c r="O258" s="576"/>
      <c r="P258" s="580" t="s">
        <v>16</v>
      </c>
      <c r="Q258" s="576"/>
      <c r="R258" s="581" t="s">
        <v>16</v>
      </c>
      <c r="S258" s="576"/>
      <c r="T258" s="582" t="s">
        <v>62</v>
      </c>
      <c r="U258" s="583"/>
      <c r="V258" s="584" t="s">
        <v>75</v>
      </c>
      <c r="W258" s="583"/>
      <c r="X258" s="585" t="s">
        <v>75</v>
      </c>
    </row>
    <row r="259" spans="1:24" s="566" customFormat="1" ht="13.8" thickBot="1">
      <c r="A259" s="586"/>
      <c r="B259" s="587" t="s">
        <v>3</v>
      </c>
      <c r="C259" s="3053"/>
      <c r="D259" s="589" t="s">
        <v>4</v>
      </c>
      <c r="E259" s="588"/>
      <c r="F259" s="590" t="s">
        <v>5</v>
      </c>
      <c r="G259" s="588"/>
      <c r="H259" s="591" t="s">
        <v>6</v>
      </c>
      <c r="I259" s="588"/>
      <c r="J259" s="591" t="s">
        <v>7</v>
      </c>
      <c r="K259" s="588"/>
      <c r="L259" s="591" t="s">
        <v>8</v>
      </c>
      <c r="M259" s="588"/>
      <c r="N259" s="591" t="s">
        <v>9</v>
      </c>
      <c r="O259" s="588"/>
      <c r="P259" s="592" t="s">
        <v>10</v>
      </c>
      <c r="Q259" s="588"/>
      <c r="R259" s="593" t="s">
        <v>11</v>
      </c>
      <c r="S259" s="588"/>
      <c r="T259" s="594" t="s">
        <v>63</v>
      </c>
      <c r="U259" s="595"/>
      <c r="V259" s="596" t="s">
        <v>76</v>
      </c>
      <c r="W259" s="595"/>
      <c r="X259" s="597" t="s">
        <v>77</v>
      </c>
    </row>
    <row r="260" spans="1:24" s="565" customFormat="1">
      <c r="A260" s="598" t="s">
        <v>81</v>
      </c>
      <c r="B260" s="115"/>
      <c r="C260" s="3073"/>
      <c r="D260" s="116"/>
      <c r="E260" s="573"/>
      <c r="F260" s="116"/>
      <c r="G260" s="573"/>
      <c r="H260" s="117"/>
      <c r="I260" s="573"/>
      <c r="J260" s="117"/>
      <c r="K260" s="573"/>
      <c r="L260" s="117"/>
      <c r="M260" s="573"/>
      <c r="N260" s="117"/>
      <c r="O260" s="573"/>
      <c r="P260" s="118"/>
      <c r="Q260" s="573"/>
      <c r="R260" s="119"/>
      <c r="S260" s="573"/>
      <c r="T260" s="120"/>
      <c r="U260" s="573"/>
      <c r="V260" s="117"/>
      <c r="W260" s="573"/>
      <c r="X260" s="121"/>
    </row>
    <row r="261" spans="1:24" s="565" customFormat="1">
      <c r="A261" s="567" t="s">
        <v>19</v>
      </c>
      <c r="B261" s="568">
        <f>SUM(B262:B264)</f>
        <v>6986</v>
      </c>
      <c r="C261" s="3065"/>
      <c r="D261" s="570">
        <f>SUM(D262:D264)</f>
        <v>6919</v>
      </c>
      <c r="E261" s="569"/>
      <c r="F261" s="570">
        <f>SUM(F262:F264)</f>
        <v>7250</v>
      </c>
      <c r="G261" s="569"/>
      <c r="H261" s="570">
        <f>SUM(H262:H264)</f>
        <v>7647</v>
      </c>
      <c r="I261" s="569"/>
      <c r="J261" s="570">
        <f>SUM(J262:J264)</f>
        <v>8095</v>
      </c>
      <c r="K261" s="569"/>
      <c r="L261" s="570">
        <f>SUM(L262:L264)</f>
        <v>7712</v>
      </c>
      <c r="M261" s="569"/>
      <c r="N261" s="570">
        <f>SUM(N262:N264)</f>
        <v>7806</v>
      </c>
      <c r="O261" s="569"/>
      <c r="P261" s="570">
        <f>SUM(P262:P264)</f>
        <v>7856</v>
      </c>
      <c r="Q261" s="569"/>
      <c r="R261" s="122">
        <f>SUM(R262:R264)</f>
        <v>7856</v>
      </c>
      <c r="S261" s="569"/>
      <c r="T261" s="3188">
        <f>(((N261/B261)^(1/6)-1))</f>
        <v>1.8669557401744363E-2</v>
      </c>
      <c r="U261" s="25"/>
      <c r="V261" s="3189">
        <f>(P261-N261)/N261</f>
        <v>6.4053292339226239E-3</v>
      </c>
      <c r="W261" s="25"/>
      <c r="X261" s="3190">
        <f>(R261-P261)/P261</f>
        <v>0</v>
      </c>
    </row>
    <row r="262" spans="1:24" s="565" customFormat="1">
      <c r="A262" s="567" t="s">
        <v>20</v>
      </c>
      <c r="B262" s="641">
        <v>5315</v>
      </c>
      <c r="C262" s="1902"/>
      <c r="D262" s="643">
        <v>5150</v>
      </c>
      <c r="E262" s="642"/>
      <c r="F262" s="643">
        <v>5331</v>
      </c>
      <c r="G262" s="642"/>
      <c r="H262" s="643">
        <v>5468</v>
      </c>
      <c r="I262" s="642"/>
      <c r="J262" s="643">
        <v>5758</v>
      </c>
      <c r="K262" s="644"/>
      <c r="L262" s="646">
        <v>5539</v>
      </c>
      <c r="M262" s="642"/>
      <c r="N262" s="643">
        <v>5540</v>
      </c>
      <c r="O262" s="642"/>
      <c r="P262" s="643">
        <v>5540</v>
      </c>
      <c r="Q262" s="642"/>
      <c r="R262" s="645">
        <v>5540</v>
      </c>
      <c r="S262" s="571"/>
      <c r="T262" s="3191">
        <f t="shared" ref="T262:T265" si="390">(((N262/B262)^(1/6)-1))</f>
        <v>6.9341790166628225E-3</v>
      </c>
      <c r="U262" s="77"/>
      <c r="V262" s="78">
        <f t="shared" ref="V262:V273" si="391">(P262-N262)/N262</f>
        <v>0</v>
      </c>
      <c r="W262" s="77"/>
      <c r="X262" s="3192">
        <f t="shared" ref="X262:X273" si="392">(R262-P262)/P262</f>
        <v>0</v>
      </c>
    </row>
    <row r="263" spans="1:24" s="565" customFormat="1">
      <c r="A263" s="567" t="s">
        <v>17</v>
      </c>
      <c r="B263" s="641">
        <v>82</v>
      </c>
      <c r="C263" s="1902"/>
      <c r="D263" s="643">
        <v>66</v>
      </c>
      <c r="E263" s="642"/>
      <c r="F263" s="643">
        <v>91</v>
      </c>
      <c r="G263" s="642"/>
      <c r="H263" s="643">
        <v>104</v>
      </c>
      <c r="I263" s="642"/>
      <c r="J263" s="643">
        <v>115</v>
      </c>
      <c r="K263" s="644"/>
      <c r="L263" s="646">
        <v>80</v>
      </c>
      <c r="M263" s="642"/>
      <c r="N263" s="643">
        <v>86</v>
      </c>
      <c r="O263" s="642"/>
      <c r="P263" s="643">
        <v>86</v>
      </c>
      <c r="Q263" s="642"/>
      <c r="R263" s="645">
        <v>86</v>
      </c>
      <c r="S263" s="571"/>
      <c r="T263" s="3191">
        <f t="shared" si="390"/>
        <v>7.9695976823164205E-3</v>
      </c>
      <c r="U263" s="77"/>
      <c r="V263" s="78">
        <f t="shared" si="391"/>
        <v>0</v>
      </c>
      <c r="W263" s="77"/>
      <c r="X263" s="3192">
        <f t="shared" si="392"/>
        <v>0</v>
      </c>
    </row>
    <row r="264" spans="1:24" s="565" customFormat="1">
      <c r="A264" s="567" t="s">
        <v>154</v>
      </c>
      <c r="B264" s="641">
        <v>1589</v>
      </c>
      <c r="C264" s="1902"/>
      <c r="D264" s="643">
        <v>1703</v>
      </c>
      <c r="E264" s="642"/>
      <c r="F264" s="643">
        <v>1828</v>
      </c>
      <c r="G264" s="642"/>
      <c r="H264" s="643">
        <v>2075</v>
      </c>
      <c r="I264" s="642"/>
      <c r="J264" s="643">
        <v>2222</v>
      </c>
      <c r="K264" s="644"/>
      <c r="L264" s="646">
        <v>2093</v>
      </c>
      <c r="M264" s="642"/>
      <c r="N264" s="643">
        <v>2180</v>
      </c>
      <c r="O264" s="642"/>
      <c r="P264" s="643">
        <v>2230</v>
      </c>
      <c r="Q264" s="642"/>
      <c r="R264" s="645">
        <v>2230</v>
      </c>
      <c r="S264" s="571"/>
      <c r="T264" s="3191">
        <f t="shared" si="390"/>
        <v>5.4116875498222639E-2</v>
      </c>
      <c r="U264" s="77"/>
      <c r="V264" s="78">
        <f t="shared" si="391"/>
        <v>2.2935779816513763E-2</v>
      </c>
      <c r="W264" s="77"/>
      <c r="X264" s="3192">
        <f t="shared" si="392"/>
        <v>0</v>
      </c>
    </row>
    <row r="265" spans="1:24" s="565" customFormat="1">
      <c r="A265" s="567" t="s">
        <v>21</v>
      </c>
      <c r="B265" s="568">
        <f>SUM(B266:B268)</f>
        <v>1430</v>
      </c>
      <c r="C265" s="3065"/>
      <c r="D265" s="570">
        <f>SUM(D266:D268)</f>
        <v>1459</v>
      </c>
      <c r="E265" s="569"/>
      <c r="F265" s="570">
        <f>SUM(F266:F268)</f>
        <v>1546</v>
      </c>
      <c r="G265" s="569"/>
      <c r="H265" s="570">
        <f>SUM(H266:H268)</f>
        <v>1465</v>
      </c>
      <c r="I265" s="569"/>
      <c r="J265" s="570">
        <f>SUM(J266:J268)</f>
        <v>1292</v>
      </c>
      <c r="K265" s="569"/>
      <c r="L265" s="570">
        <f>SUM(L266:L268)</f>
        <v>1242</v>
      </c>
      <c r="M265" s="569"/>
      <c r="N265" s="570">
        <f>SUM(N266:N268)</f>
        <v>1253</v>
      </c>
      <c r="O265" s="569"/>
      <c r="P265" s="570">
        <f>SUM(P266:P268)</f>
        <v>1253</v>
      </c>
      <c r="Q265" s="569"/>
      <c r="R265" s="122">
        <f>SUM(R266:R268)</f>
        <v>1253</v>
      </c>
      <c r="S265" s="571"/>
      <c r="T265" s="3197">
        <f t="shared" si="390"/>
        <v>-2.1781574303982199E-2</v>
      </c>
      <c r="U265" s="1480"/>
      <c r="V265" s="1479">
        <f t="shared" si="391"/>
        <v>0</v>
      </c>
      <c r="W265" s="1480"/>
      <c r="X265" s="3198">
        <f t="shared" si="392"/>
        <v>0</v>
      </c>
    </row>
    <row r="266" spans="1:24" s="565" customFormat="1">
      <c r="A266" s="567" t="s">
        <v>20</v>
      </c>
      <c r="B266" s="647">
        <v>820</v>
      </c>
      <c r="C266" s="1902"/>
      <c r="D266" s="649">
        <v>814</v>
      </c>
      <c r="E266" s="648"/>
      <c r="F266" s="649">
        <v>815</v>
      </c>
      <c r="G266" s="648"/>
      <c r="H266" s="649">
        <v>707</v>
      </c>
      <c r="I266" s="648"/>
      <c r="J266" s="649">
        <v>594</v>
      </c>
      <c r="K266" s="650"/>
      <c r="L266" s="653">
        <v>554</v>
      </c>
      <c r="M266" s="648"/>
      <c r="N266" s="649">
        <v>565</v>
      </c>
      <c r="O266" s="648"/>
      <c r="P266" s="652">
        <v>565</v>
      </c>
      <c r="Q266" s="648"/>
      <c r="R266" s="651">
        <v>565</v>
      </c>
      <c r="S266" s="571"/>
      <c r="T266" s="3191">
        <f>(((N266/B266)^(1/6)-1))</f>
        <v>-6.0192082971053273E-2</v>
      </c>
      <c r="U266" s="77"/>
      <c r="V266" s="78">
        <f t="shared" si="391"/>
        <v>0</v>
      </c>
      <c r="W266" s="77"/>
      <c r="X266" s="3192">
        <f t="shared" si="392"/>
        <v>0</v>
      </c>
    </row>
    <row r="267" spans="1:24" s="565" customFormat="1">
      <c r="A267" s="567" t="s">
        <v>17</v>
      </c>
      <c r="B267" s="647">
        <v>17</v>
      </c>
      <c r="C267" s="1902"/>
      <c r="D267" s="649">
        <v>7</v>
      </c>
      <c r="E267" s="648"/>
      <c r="F267" s="649">
        <v>20</v>
      </c>
      <c r="G267" s="648"/>
      <c r="H267" s="649">
        <v>16</v>
      </c>
      <c r="I267" s="648"/>
      <c r="J267" s="649">
        <v>12</v>
      </c>
      <c r="K267" s="650"/>
      <c r="L267" s="653">
        <v>10</v>
      </c>
      <c r="M267" s="648"/>
      <c r="N267" s="649">
        <v>10</v>
      </c>
      <c r="O267" s="648"/>
      <c r="P267" s="652">
        <v>10</v>
      </c>
      <c r="Q267" s="648"/>
      <c r="R267" s="651">
        <v>10</v>
      </c>
      <c r="S267" s="571"/>
      <c r="T267" s="3191">
        <f t="shared" ref="T267:T268" si="393">(((N267/B267)^(1/6)-1))</f>
        <v>-8.4640177013925899E-2</v>
      </c>
      <c r="U267" s="77"/>
      <c r="V267" s="78">
        <f t="shared" si="391"/>
        <v>0</v>
      </c>
      <c r="W267" s="77"/>
      <c r="X267" s="3192">
        <f t="shared" si="392"/>
        <v>0</v>
      </c>
    </row>
    <row r="268" spans="1:24" s="565" customFormat="1">
      <c r="A268" s="567" t="s">
        <v>154</v>
      </c>
      <c r="B268" s="647">
        <v>593</v>
      </c>
      <c r="C268" s="1902"/>
      <c r="D268" s="649">
        <v>638</v>
      </c>
      <c r="E268" s="648"/>
      <c r="F268" s="649">
        <v>711</v>
      </c>
      <c r="G268" s="648"/>
      <c r="H268" s="649">
        <v>742</v>
      </c>
      <c r="I268" s="648"/>
      <c r="J268" s="649">
        <v>686</v>
      </c>
      <c r="K268" s="650"/>
      <c r="L268" s="653">
        <v>678</v>
      </c>
      <c r="M268" s="648"/>
      <c r="N268" s="649">
        <v>678</v>
      </c>
      <c r="O268" s="648"/>
      <c r="P268" s="652">
        <v>678</v>
      </c>
      <c r="Q268" s="648"/>
      <c r="R268" s="651">
        <v>678</v>
      </c>
      <c r="S268" s="571"/>
      <c r="T268" s="3191">
        <f t="shared" si="393"/>
        <v>2.257656005421449E-2</v>
      </c>
      <c r="U268" s="77"/>
      <c r="V268" s="78">
        <f t="shared" si="391"/>
        <v>0</v>
      </c>
      <c r="W268" s="77"/>
      <c r="X268" s="3192">
        <f t="shared" si="392"/>
        <v>0</v>
      </c>
    </row>
    <row r="269" spans="1:24" s="565" customFormat="1">
      <c r="A269" s="605" t="s">
        <v>22</v>
      </c>
      <c r="B269" s="568">
        <f>SUM(B270:B272)</f>
        <v>0</v>
      </c>
      <c r="C269" s="3065"/>
      <c r="D269" s="570">
        <f>SUM(D270:D272)</f>
        <v>0</v>
      </c>
      <c r="E269" s="569"/>
      <c r="F269" s="570">
        <f>SUM(F270:F272)</f>
        <v>0</v>
      </c>
      <c r="G269" s="569"/>
      <c r="H269" s="570">
        <f>SUM(H270:H272)</f>
        <v>0</v>
      </c>
      <c r="I269" s="569"/>
      <c r="J269" s="570">
        <f>SUM(J270:J272)</f>
        <v>0</v>
      </c>
      <c r="K269" s="569"/>
      <c r="L269" s="570">
        <f>SUM(L270:L272)</f>
        <v>0</v>
      </c>
      <c r="M269" s="569"/>
      <c r="N269" s="570">
        <f>SUM(N270:N272)</f>
        <v>0</v>
      </c>
      <c r="O269" s="569"/>
      <c r="P269" s="570">
        <f>SUM(P270:P272)</f>
        <v>0</v>
      </c>
      <c r="Q269" s="569"/>
      <c r="R269" s="122">
        <f>SUM(R270:R272)</f>
        <v>0</v>
      </c>
      <c r="S269" s="571"/>
      <c r="T269" s="3197">
        <v>0</v>
      </c>
      <c r="U269" s="1480"/>
      <c r="V269" s="1479">
        <v>0</v>
      </c>
      <c r="W269" s="1480"/>
      <c r="X269" s="3198">
        <v>0</v>
      </c>
    </row>
    <row r="270" spans="1:24" s="565" customFormat="1">
      <c r="A270" s="567" t="s">
        <v>20</v>
      </c>
      <c r="B270" s="606">
        <v>0</v>
      </c>
      <c r="C270" s="1902"/>
      <c r="D270" s="607">
        <v>0</v>
      </c>
      <c r="E270" s="600"/>
      <c r="F270" s="607">
        <v>0</v>
      </c>
      <c r="G270" s="600"/>
      <c r="H270" s="607">
        <v>0</v>
      </c>
      <c r="I270" s="600"/>
      <c r="J270" s="607">
        <v>0</v>
      </c>
      <c r="K270" s="602"/>
      <c r="L270" s="639">
        <v>0</v>
      </c>
      <c r="M270" s="600"/>
      <c r="N270" s="601">
        <v>0</v>
      </c>
      <c r="O270" s="600"/>
      <c r="P270" s="604">
        <v>0</v>
      </c>
      <c r="Q270" s="600"/>
      <c r="R270" s="603">
        <v>0</v>
      </c>
      <c r="S270" s="571"/>
      <c r="T270" s="3191"/>
      <c r="U270" s="77"/>
      <c r="V270" s="78"/>
      <c r="W270" s="77"/>
      <c r="X270" s="3192"/>
    </row>
    <row r="271" spans="1:24" s="565" customFormat="1">
      <c r="A271" s="567" t="s">
        <v>17</v>
      </c>
      <c r="B271" s="606">
        <v>0</v>
      </c>
      <c r="C271" s="1902"/>
      <c r="D271" s="607">
        <v>0</v>
      </c>
      <c r="E271" s="600"/>
      <c r="F271" s="607">
        <v>0</v>
      </c>
      <c r="G271" s="600"/>
      <c r="H271" s="607">
        <v>0</v>
      </c>
      <c r="I271" s="600"/>
      <c r="J271" s="607">
        <v>0</v>
      </c>
      <c r="K271" s="602"/>
      <c r="L271" s="639">
        <v>0</v>
      </c>
      <c r="M271" s="600"/>
      <c r="N271" s="601">
        <v>0</v>
      </c>
      <c r="O271" s="600"/>
      <c r="P271" s="604">
        <v>0</v>
      </c>
      <c r="Q271" s="600"/>
      <c r="R271" s="603">
        <v>0</v>
      </c>
      <c r="S271" s="571"/>
      <c r="T271" s="3191"/>
      <c r="U271" s="77"/>
      <c r="V271" s="78"/>
      <c r="W271" s="77"/>
      <c r="X271" s="3192"/>
    </row>
    <row r="272" spans="1:24" s="565" customFormat="1" ht="13.8" thickBot="1">
      <c r="A272" s="102" t="s">
        <v>154</v>
      </c>
      <c r="B272" s="608">
        <v>0</v>
      </c>
      <c r="C272" s="1909"/>
      <c r="D272" s="610">
        <v>0</v>
      </c>
      <c r="E272" s="609"/>
      <c r="F272" s="610">
        <v>0</v>
      </c>
      <c r="G272" s="609"/>
      <c r="H272" s="610">
        <v>0</v>
      </c>
      <c r="I272" s="609"/>
      <c r="J272" s="610">
        <v>0</v>
      </c>
      <c r="K272" s="611"/>
      <c r="L272" s="640">
        <v>0</v>
      </c>
      <c r="M272" s="609"/>
      <c r="N272" s="612">
        <v>0</v>
      </c>
      <c r="O272" s="609"/>
      <c r="P272" s="613">
        <v>0</v>
      </c>
      <c r="Q272" s="609"/>
      <c r="R272" s="614">
        <v>0</v>
      </c>
      <c r="S272" s="572"/>
      <c r="T272" s="3193"/>
      <c r="U272" s="3194"/>
      <c r="V272" s="3195"/>
      <c r="W272" s="3194"/>
      <c r="X272" s="3196"/>
    </row>
    <row r="273" spans="1:24" s="565" customFormat="1" ht="13.8" thickTop="1">
      <c r="A273" s="628" t="s">
        <v>23</v>
      </c>
      <c r="B273" s="123">
        <f>B261+B265+B269</f>
        <v>8416</v>
      </c>
      <c r="C273" s="124"/>
      <c r="D273" s="574">
        <f>D261+D265+D269</f>
        <v>8378</v>
      </c>
      <c r="E273" s="124"/>
      <c r="F273" s="574">
        <f>F261+F265+F269</f>
        <v>8796</v>
      </c>
      <c r="G273" s="124"/>
      <c r="H273" s="574">
        <f>H261+H265+H269</f>
        <v>9112</v>
      </c>
      <c r="I273" s="124"/>
      <c r="J273" s="574">
        <f>J261+J265+J269</f>
        <v>9387</v>
      </c>
      <c r="K273" s="124"/>
      <c r="L273" s="574">
        <f>L261+L265+L269</f>
        <v>8954</v>
      </c>
      <c r="M273" s="124"/>
      <c r="N273" s="574">
        <f>N261+N265+N269</f>
        <v>9059</v>
      </c>
      <c r="O273" s="124"/>
      <c r="P273" s="570">
        <f>P261+P265+P269</f>
        <v>9109</v>
      </c>
      <c r="Q273" s="124"/>
      <c r="R273" s="122">
        <f>R261+R265+R269</f>
        <v>9109</v>
      </c>
      <c r="S273" s="124"/>
      <c r="T273" s="3197">
        <f t="shared" ref="T273" si="394">(((N273/B273)^(1/6)-1))</f>
        <v>1.2346274126830536E-2</v>
      </c>
      <c r="U273" s="1480"/>
      <c r="V273" s="1479">
        <f t="shared" si="391"/>
        <v>5.5193729992272875E-3</v>
      </c>
      <c r="W273" s="1480"/>
      <c r="X273" s="3198">
        <f t="shared" si="392"/>
        <v>0</v>
      </c>
    </row>
    <row r="274" spans="1:24" s="565" customFormat="1" ht="8.25" customHeight="1" thickBot="1">
      <c r="A274" s="615"/>
      <c r="B274" s="126"/>
      <c r="C274" s="3068"/>
      <c r="D274" s="571"/>
      <c r="E274" s="571"/>
      <c r="F274" s="571"/>
      <c r="G274" s="571"/>
      <c r="H274" s="571"/>
      <c r="I274" s="571"/>
      <c r="J274" s="571"/>
      <c r="K274" s="571"/>
      <c r="L274" s="571"/>
      <c r="M274" s="571"/>
      <c r="N274" s="571"/>
      <c r="O274" s="571"/>
      <c r="P274" s="569"/>
      <c r="Q274" s="571"/>
      <c r="R274" s="127"/>
      <c r="S274" s="571"/>
      <c r="T274" s="84"/>
      <c r="U274" s="34"/>
      <c r="V274" s="34"/>
      <c r="W274" s="34"/>
      <c r="X274" s="42"/>
    </row>
    <row r="275" spans="1:24" s="565" customFormat="1">
      <c r="A275" s="598" t="s">
        <v>24</v>
      </c>
      <c r="B275" s="115"/>
      <c r="C275" s="3073"/>
      <c r="D275" s="116"/>
      <c r="E275" s="573"/>
      <c r="F275" s="116"/>
      <c r="G275" s="573"/>
      <c r="H275" s="117"/>
      <c r="I275" s="573"/>
      <c r="J275" s="117"/>
      <c r="K275" s="573"/>
      <c r="L275" s="117"/>
      <c r="M275" s="573"/>
      <c r="N275" s="117"/>
      <c r="O275" s="573"/>
      <c r="P275" s="118"/>
      <c r="Q275" s="573"/>
      <c r="R275" s="119"/>
      <c r="S275" s="573"/>
      <c r="T275" s="86"/>
      <c r="U275" s="45"/>
      <c r="V275" s="47"/>
      <c r="W275" s="45"/>
      <c r="X275" s="85"/>
    </row>
    <row r="276" spans="1:24" s="565" customFormat="1">
      <c r="A276" s="567" t="s">
        <v>19</v>
      </c>
      <c r="B276" s="568">
        <f>SUM(B277:B279)</f>
        <v>4106.0999999999995</v>
      </c>
      <c r="C276" s="3065"/>
      <c r="D276" s="570">
        <f>SUM(D277:D279)</f>
        <v>4080.6000000000004</v>
      </c>
      <c r="E276" s="569"/>
      <c r="F276" s="570">
        <f>SUM(F277:F279)</f>
        <v>4287.3999999999996</v>
      </c>
      <c r="G276" s="569"/>
      <c r="H276" s="570">
        <f>SUM(H277:H279)</f>
        <v>4715.5</v>
      </c>
      <c r="I276" s="569"/>
      <c r="J276" s="570">
        <f>SUM(J277:J279)</f>
        <v>4968</v>
      </c>
      <c r="K276" s="569"/>
      <c r="L276" s="570">
        <f>SUM(L277:L279)</f>
        <v>4895.97</v>
      </c>
      <c r="M276" s="569"/>
      <c r="N276" s="570">
        <f>SUM(N277:N279)</f>
        <v>4954</v>
      </c>
      <c r="O276" s="569"/>
      <c r="P276" s="570">
        <f>SUM(P277:P279)</f>
        <v>4985</v>
      </c>
      <c r="Q276" s="569"/>
      <c r="R276" s="122">
        <f>SUM(R277:R279)</f>
        <v>4985</v>
      </c>
      <c r="S276" s="569"/>
      <c r="T276" s="3188">
        <f>(((N276/B276)^(1/6)-1))</f>
        <v>3.1781523928066324E-2</v>
      </c>
      <c r="U276" s="25"/>
      <c r="V276" s="3189">
        <f>(P276-N276)/N276</f>
        <v>6.2575696406943883E-3</v>
      </c>
      <c r="W276" s="25"/>
      <c r="X276" s="3190">
        <f>(R276-P276)/P276</f>
        <v>0</v>
      </c>
    </row>
    <row r="277" spans="1:24" s="565" customFormat="1">
      <c r="A277" s="567" t="s">
        <v>20</v>
      </c>
      <c r="B277" s="654">
        <v>3141.2</v>
      </c>
      <c r="C277" s="1916"/>
      <c r="D277" s="656">
        <v>3077.9</v>
      </c>
      <c r="E277" s="655"/>
      <c r="F277" s="656">
        <v>3204.4</v>
      </c>
      <c r="G277" s="655"/>
      <c r="H277" s="656">
        <v>3400</v>
      </c>
      <c r="I277" s="655"/>
      <c r="J277" s="656">
        <v>3558</v>
      </c>
      <c r="K277" s="655"/>
      <c r="L277" s="656">
        <v>3544.5</v>
      </c>
      <c r="M277" s="655"/>
      <c r="N277" s="656">
        <v>3545</v>
      </c>
      <c r="O277" s="655"/>
      <c r="P277" s="657">
        <v>3545</v>
      </c>
      <c r="Q277" s="655"/>
      <c r="R277" s="658">
        <v>3545</v>
      </c>
      <c r="S277" s="571"/>
      <c r="T277" s="3191">
        <f t="shared" ref="T277:T280" si="395">(((N277/B277)^(1/6)-1))</f>
        <v>2.0360039155316034E-2</v>
      </c>
      <c r="U277" s="77"/>
      <c r="V277" s="78">
        <f t="shared" ref="V277:V283" si="396">(P277-N277)/N277</f>
        <v>0</v>
      </c>
      <c r="W277" s="77"/>
      <c r="X277" s="3192">
        <f t="shared" ref="X277:X283" si="397">(R277-P277)/P277</f>
        <v>0</v>
      </c>
    </row>
    <row r="278" spans="1:24" s="565" customFormat="1">
      <c r="A278" s="567" t="s">
        <v>17</v>
      </c>
      <c r="B278" s="654">
        <v>36.6</v>
      </c>
      <c r="C278" s="1916"/>
      <c r="D278" s="656">
        <v>36.299999999999997</v>
      </c>
      <c r="E278" s="655"/>
      <c r="F278" s="656">
        <v>46.5</v>
      </c>
      <c r="G278" s="655"/>
      <c r="H278" s="656">
        <v>60.2</v>
      </c>
      <c r="I278" s="655"/>
      <c r="J278" s="656">
        <v>56.2</v>
      </c>
      <c r="K278" s="655"/>
      <c r="L278" s="656">
        <v>48.52</v>
      </c>
      <c r="M278" s="655"/>
      <c r="N278" s="656">
        <v>52</v>
      </c>
      <c r="O278" s="655"/>
      <c r="P278" s="657">
        <v>52</v>
      </c>
      <c r="Q278" s="655"/>
      <c r="R278" s="658">
        <v>52</v>
      </c>
      <c r="S278" s="571"/>
      <c r="T278" s="3191">
        <f t="shared" si="395"/>
        <v>6.0279528716279618E-2</v>
      </c>
      <c r="U278" s="77"/>
      <c r="V278" s="78">
        <f t="shared" si="396"/>
        <v>0</v>
      </c>
      <c r="W278" s="77"/>
      <c r="X278" s="3192">
        <f t="shared" si="397"/>
        <v>0</v>
      </c>
    </row>
    <row r="279" spans="1:24" s="565" customFormat="1">
      <c r="A279" s="567" t="s">
        <v>154</v>
      </c>
      <c r="B279" s="654">
        <v>928.3</v>
      </c>
      <c r="C279" s="1916"/>
      <c r="D279" s="656">
        <v>966.4</v>
      </c>
      <c r="E279" s="655"/>
      <c r="F279" s="656">
        <v>1036.5</v>
      </c>
      <c r="G279" s="655"/>
      <c r="H279" s="656">
        <v>1255.3</v>
      </c>
      <c r="I279" s="655"/>
      <c r="J279" s="656">
        <v>1353.8</v>
      </c>
      <c r="K279" s="655"/>
      <c r="L279" s="656">
        <v>1302.95</v>
      </c>
      <c r="M279" s="655"/>
      <c r="N279" s="656">
        <v>1357</v>
      </c>
      <c r="O279" s="655"/>
      <c r="P279" s="657">
        <v>1388</v>
      </c>
      <c r="Q279" s="655"/>
      <c r="R279" s="658">
        <v>1388</v>
      </c>
      <c r="S279" s="571"/>
      <c r="T279" s="3191">
        <f t="shared" si="395"/>
        <v>6.5324503179431392E-2</v>
      </c>
      <c r="U279" s="77"/>
      <c r="V279" s="78">
        <f t="shared" si="396"/>
        <v>2.2844509948415623E-2</v>
      </c>
      <c r="W279" s="77"/>
      <c r="X279" s="3192">
        <f t="shared" si="397"/>
        <v>0</v>
      </c>
    </row>
    <row r="280" spans="1:24" s="565" customFormat="1">
      <c r="A280" s="567" t="s">
        <v>21</v>
      </c>
      <c r="B280" s="568">
        <f>SUM(B281:B283)</f>
        <v>497.7</v>
      </c>
      <c r="C280" s="3065"/>
      <c r="D280" s="570">
        <f>SUM(D281:D283)</f>
        <v>503.5</v>
      </c>
      <c r="E280" s="569"/>
      <c r="F280" s="570">
        <f>SUM(F281:F283)</f>
        <v>551</v>
      </c>
      <c r="G280" s="569"/>
      <c r="H280" s="570">
        <f>SUM(H281:H283)</f>
        <v>537.6</v>
      </c>
      <c r="I280" s="569"/>
      <c r="J280" s="570">
        <f>SUM(J281:J283)</f>
        <v>468.40000000000003</v>
      </c>
      <c r="K280" s="569"/>
      <c r="L280" s="570">
        <f>SUM(L281:L283)</f>
        <v>485.33</v>
      </c>
      <c r="M280" s="569"/>
      <c r="N280" s="570">
        <f>SUM(N281:N283)</f>
        <v>489</v>
      </c>
      <c r="O280" s="569"/>
      <c r="P280" s="570">
        <f>SUM(P281:P283)</f>
        <v>489</v>
      </c>
      <c r="Q280" s="569"/>
      <c r="R280" s="122">
        <f>SUM(R281:R283)</f>
        <v>489</v>
      </c>
      <c r="S280" s="571"/>
      <c r="T280" s="3197">
        <f t="shared" si="395"/>
        <v>-2.9348509450140003E-3</v>
      </c>
      <c r="U280" s="1480"/>
      <c r="V280" s="1479">
        <f t="shared" si="396"/>
        <v>0</v>
      </c>
      <c r="W280" s="1480"/>
      <c r="X280" s="3198">
        <f t="shared" si="397"/>
        <v>0</v>
      </c>
    </row>
    <row r="281" spans="1:24" s="565" customFormat="1">
      <c r="A281" s="567" t="s">
        <v>20</v>
      </c>
      <c r="B281" s="663">
        <v>275</v>
      </c>
      <c r="C281" s="1916"/>
      <c r="D281" s="660">
        <v>258.60000000000002</v>
      </c>
      <c r="E281" s="659"/>
      <c r="F281" s="660">
        <v>268.3</v>
      </c>
      <c r="G281" s="659"/>
      <c r="H281" s="660">
        <v>239.4</v>
      </c>
      <c r="I281" s="659"/>
      <c r="J281" s="660">
        <v>203.5</v>
      </c>
      <c r="K281" s="659"/>
      <c r="L281" s="660">
        <v>203.1</v>
      </c>
      <c r="M281" s="659"/>
      <c r="N281" s="660">
        <v>207</v>
      </c>
      <c r="O281" s="659"/>
      <c r="P281" s="661">
        <v>207</v>
      </c>
      <c r="Q281" s="659"/>
      <c r="R281" s="662">
        <v>207</v>
      </c>
      <c r="S281" s="571"/>
      <c r="T281" s="3191">
        <f>(((N281/B281)^(1/6)-1))</f>
        <v>-4.6238892896698358E-2</v>
      </c>
      <c r="U281" s="77"/>
      <c r="V281" s="78">
        <f t="shared" si="396"/>
        <v>0</v>
      </c>
      <c r="W281" s="77"/>
      <c r="X281" s="3192">
        <f t="shared" si="397"/>
        <v>0</v>
      </c>
    </row>
    <row r="282" spans="1:24" s="565" customFormat="1">
      <c r="A282" s="567" t="s">
        <v>17</v>
      </c>
      <c r="B282" s="663">
        <v>4.2</v>
      </c>
      <c r="C282" s="1916"/>
      <c r="D282" s="660">
        <v>1.9</v>
      </c>
      <c r="E282" s="659"/>
      <c r="F282" s="660">
        <v>7</v>
      </c>
      <c r="G282" s="659"/>
      <c r="H282" s="660">
        <v>6.3</v>
      </c>
      <c r="I282" s="659"/>
      <c r="J282" s="660">
        <v>4.3</v>
      </c>
      <c r="K282" s="659"/>
      <c r="L282" s="660">
        <v>4.04</v>
      </c>
      <c r="M282" s="659"/>
      <c r="N282" s="660">
        <v>4</v>
      </c>
      <c r="O282" s="659"/>
      <c r="P282" s="661">
        <v>4</v>
      </c>
      <c r="Q282" s="659"/>
      <c r="R282" s="662">
        <v>4</v>
      </c>
      <c r="S282" s="571"/>
      <c r="T282" s="3191">
        <f t="shared" ref="T282:T283" si="398">(((N282/B282)^(1/6)-1))</f>
        <v>-8.0987212397611863E-3</v>
      </c>
      <c r="U282" s="77"/>
      <c r="V282" s="78">
        <f t="shared" si="396"/>
        <v>0</v>
      </c>
      <c r="W282" s="77"/>
      <c r="X282" s="3192">
        <f t="shared" si="397"/>
        <v>0</v>
      </c>
    </row>
    <row r="283" spans="1:24" s="565" customFormat="1">
      <c r="A283" s="567" t="s">
        <v>154</v>
      </c>
      <c r="B283" s="663">
        <v>218.5</v>
      </c>
      <c r="C283" s="1916"/>
      <c r="D283" s="660">
        <v>243</v>
      </c>
      <c r="E283" s="659"/>
      <c r="F283" s="660">
        <v>275.7</v>
      </c>
      <c r="G283" s="659"/>
      <c r="H283" s="660">
        <v>291.89999999999998</v>
      </c>
      <c r="I283" s="659"/>
      <c r="J283" s="660">
        <v>260.60000000000002</v>
      </c>
      <c r="K283" s="659"/>
      <c r="L283" s="660">
        <v>278.19</v>
      </c>
      <c r="M283" s="659"/>
      <c r="N283" s="660">
        <v>278</v>
      </c>
      <c r="O283" s="659"/>
      <c r="P283" s="661">
        <v>278</v>
      </c>
      <c r="Q283" s="659"/>
      <c r="R283" s="662">
        <v>278</v>
      </c>
      <c r="S283" s="571"/>
      <c r="T283" s="3191">
        <f t="shared" si="398"/>
        <v>4.0955647640467996E-2</v>
      </c>
      <c r="U283" s="77"/>
      <c r="V283" s="78">
        <f t="shared" si="396"/>
        <v>0</v>
      </c>
      <c r="W283" s="77"/>
      <c r="X283" s="3192">
        <f t="shared" si="397"/>
        <v>0</v>
      </c>
    </row>
    <row r="284" spans="1:24" s="565" customFormat="1">
      <c r="A284" s="605" t="s">
        <v>22</v>
      </c>
      <c r="B284" s="568">
        <f>SUM(B285:B287)</f>
        <v>0</v>
      </c>
      <c r="C284" s="3065"/>
      <c r="D284" s="570">
        <f>SUM(D285:D287)</f>
        <v>0</v>
      </c>
      <c r="E284" s="569"/>
      <c r="F284" s="570">
        <f>SUM(F285:F287)</f>
        <v>0</v>
      </c>
      <c r="G284" s="569"/>
      <c r="H284" s="570">
        <f>SUM(H285:H287)</f>
        <v>0</v>
      </c>
      <c r="I284" s="569"/>
      <c r="J284" s="570">
        <f>SUM(J285:J287)</f>
        <v>0</v>
      </c>
      <c r="K284" s="569"/>
      <c r="L284" s="570">
        <f>SUM(L285:L287)</f>
        <v>0</v>
      </c>
      <c r="M284" s="569"/>
      <c r="N284" s="570">
        <f>SUM(N285:N287)</f>
        <v>0</v>
      </c>
      <c r="O284" s="569"/>
      <c r="P284" s="570">
        <f>SUM(P285:P287)</f>
        <v>0</v>
      </c>
      <c r="Q284" s="569"/>
      <c r="R284" s="122">
        <f>SUM(R285:R287)</f>
        <v>0</v>
      </c>
      <c r="S284" s="571"/>
      <c r="T284" s="3197">
        <v>0</v>
      </c>
      <c r="U284" s="1480"/>
      <c r="V284" s="1479">
        <v>0</v>
      </c>
      <c r="W284" s="1480"/>
      <c r="X284" s="3198">
        <v>0</v>
      </c>
    </row>
    <row r="285" spans="1:24" s="565" customFormat="1">
      <c r="A285" s="567" t="s">
        <v>20</v>
      </c>
      <c r="B285" s="620">
        <v>0</v>
      </c>
      <c r="C285" s="1916"/>
      <c r="D285" s="621">
        <v>0</v>
      </c>
      <c r="E285" s="616"/>
      <c r="F285" s="621">
        <v>0</v>
      </c>
      <c r="G285" s="616"/>
      <c r="H285" s="621">
        <v>0</v>
      </c>
      <c r="I285" s="616"/>
      <c r="J285" s="621">
        <v>0</v>
      </c>
      <c r="K285" s="616"/>
      <c r="L285" s="617">
        <v>0</v>
      </c>
      <c r="M285" s="616"/>
      <c r="N285" s="617">
        <v>0</v>
      </c>
      <c r="O285" s="616"/>
      <c r="P285" s="618">
        <v>0</v>
      </c>
      <c r="Q285" s="616"/>
      <c r="R285" s="619">
        <v>0</v>
      </c>
      <c r="S285" s="571"/>
      <c r="T285" s="3191"/>
      <c r="U285" s="77"/>
      <c r="V285" s="78"/>
      <c r="W285" s="77"/>
      <c r="X285" s="3192"/>
    </row>
    <row r="286" spans="1:24" s="565" customFormat="1">
      <c r="A286" s="567" t="s">
        <v>17</v>
      </c>
      <c r="B286" s="620">
        <v>0</v>
      </c>
      <c r="C286" s="1916"/>
      <c r="D286" s="621">
        <v>0</v>
      </c>
      <c r="E286" s="616"/>
      <c r="F286" s="621">
        <v>0</v>
      </c>
      <c r="G286" s="616"/>
      <c r="H286" s="621">
        <v>0</v>
      </c>
      <c r="I286" s="616"/>
      <c r="J286" s="621">
        <v>0</v>
      </c>
      <c r="K286" s="616"/>
      <c r="L286" s="617">
        <v>0</v>
      </c>
      <c r="M286" s="616"/>
      <c r="N286" s="617">
        <v>0</v>
      </c>
      <c r="O286" s="616"/>
      <c r="P286" s="618">
        <v>0</v>
      </c>
      <c r="Q286" s="616"/>
      <c r="R286" s="619">
        <v>0</v>
      </c>
      <c r="S286" s="571"/>
      <c r="T286" s="3191"/>
      <c r="U286" s="77"/>
      <c r="V286" s="78"/>
      <c r="W286" s="77"/>
      <c r="X286" s="3192"/>
    </row>
    <row r="287" spans="1:24" s="565" customFormat="1" ht="13.8" thickBot="1">
      <c r="A287" s="102" t="s">
        <v>154</v>
      </c>
      <c r="B287" s="622">
        <v>0</v>
      </c>
      <c r="C287" s="1921"/>
      <c r="D287" s="624">
        <v>0</v>
      </c>
      <c r="E287" s="623"/>
      <c r="F287" s="624">
        <v>0</v>
      </c>
      <c r="G287" s="623"/>
      <c r="H287" s="624">
        <v>0</v>
      </c>
      <c r="I287" s="623"/>
      <c r="J287" s="624">
        <v>0</v>
      </c>
      <c r="K287" s="623"/>
      <c r="L287" s="625">
        <v>0</v>
      </c>
      <c r="M287" s="623"/>
      <c r="N287" s="625">
        <v>0</v>
      </c>
      <c r="O287" s="623"/>
      <c r="P287" s="626">
        <v>0</v>
      </c>
      <c r="Q287" s="623"/>
      <c r="R287" s="627">
        <v>0</v>
      </c>
      <c r="S287" s="572"/>
      <c r="T287" s="3193"/>
      <c r="U287" s="3194"/>
      <c r="V287" s="3195"/>
      <c r="W287" s="3194"/>
      <c r="X287" s="3196"/>
    </row>
    <row r="288" spans="1:24" s="565" customFormat="1" ht="13.8" thickTop="1">
      <c r="A288" s="628" t="s">
        <v>25</v>
      </c>
      <c r="B288" s="123">
        <f>B276+B280+B284</f>
        <v>4603.7999999999993</v>
      </c>
      <c r="C288" s="124"/>
      <c r="D288" s="574">
        <f>D276+D280+D284</f>
        <v>4584.1000000000004</v>
      </c>
      <c r="E288" s="124"/>
      <c r="F288" s="574">
        <f>F276+F280+F284</f>
        <v>4838.3999999999996</v>
      </c>
      <c r="G288" s="124"/>
      <c r="H288" s="574">
        <f>H276+H280+H284</f>
        <v>5253.1</v>
      </c>
      <c r="I288" s="124"/>
      <c r="J288" s="574">
        <f>J276+J280+J284</f>
        <v>5436.4</v>
      </c>
      <c r="K288" s="124"/>
      <c r="L288" s="574">
        <f>L276+L280+L284</f>
        <v>5381.3</v>
      </c>
      <c r="M288" s="124"/>
      <c r="N288" s="574">
        <f>N276+N280+N284</f>
        <v>5443</v>
      </c>
      <c r="O288" s="124"/>
      <c r="P288" s="570">
        <f>P276+P280+P284</f>
        <v>5474</v>
      </c>
      <c r="Q288" s="124"/>
      <c r="R288" s="122">
        <f>R276+R280+R284</f>
        <v>5474</v>
      </c>
      <c r="S288" s="124"/>
      <c r="T288" s="3197">
        <f t="shared" ref="T288" si="399">(((N288/B288)^(1/6)-1))</f>
        <v>2.8301132930916628E-2</v>
      </c>
      <c r="U288" s="1480"/>
      <c r="V288" s="1479">
        <f t="shared" ref="V288" si="400">(P288-N288)/N288</f>
        <v>5.6953885724784128E-3</v>
      </c>
      <c r="W288" s="1480"/>
      <c r="X288" s="3198">
        <f t="shared" ref="X288" si="401">(R288-P288)/P288</f>
        <v>0</v>
      </c>
    </row>
    <row r="289" spans="1:25" s="565" customFormat="1" ht="8.25" customHeight="1" thickBot="1">
      <c r="A289" s="615"/>
      <c r="B289" s="126"/>
      <c r="C289" s="3068"/>
      <c r="D289" s="571"/>
      <c r="E289" s="571"/>
      <c r="F289" s="571"/>
      <c r="G289" s="571"/>
      <c r="H289" s="571"/>
      <c r="I289" s="571"/>
      <c r="J289" s="571"/>
      <c r="K289" s="571"/>
      <c r="L289" s="571"/>
      <c r="M289" s="571"/>
      <c r="N289" s="571"/>
      <c r="O289" s="571"/>
      <c r="P289" s="569"/>
      <c r="Q289" s="571"/>
      <c r="R289" s="127"/>
      <c r="S289" s="571"/>
      <c r="T289" s="84"/>
      <c r="U289" s="34"/>
      <c r="V289" s="34"/>
      <c r="W289" s="34"/>
      <c r="X289" s="42"/>
    </row>
    <row r="290" spans="1:25" s="565" customFormat="1">
      <c r="A290" s="598" t="s">
        <v>78</v>
      </c>
      <c r="B290" s="115"/>
      <c r="C290" s="3073"/>
      <c r="D290" s="116"/>
      <c r="E290" s="573"/>
      <c r="F290" s="116"/>
      <c r="G290" s="573"/>
      <c r="H290" s="117"/>
      <c r="I290" s="573"/>
      <c r="J290" s="117"/>
      <c r="K290" s="573"/>
      <c r="L290" s="117"/>
      <c r="M290" s="573"/>
      <c r="N290" s="117"/>
      <c r="O290" s="573"/>
      <c r="P290" s="118"/>
      <c r="Q290" s="573"/>
      <c r="R290" s="119"/>
      <c r="S290" s="573"/>
      <c r="T290" s="86"/>
      <c r="U290" s="45"/>
      <c r="V290" s="47"/>
      <c r="W290" s="45"/>
      <c r="X290" s="85"/>
    </row>
    <row r="291" spans="1:25" s="565" customFormat="1">
      <c r="A291" s="605" t="s">
        <v>79</v>
      </c>
      <c r="B291" s="702">
        <v>50</v>
      </c>
      <c r="C291" s="703"/>
      <c r="D291" s="704">
        <v>99</v>
      </c>
      <c r="E291" s="703"/>
      <c r="F291" s="704">
        <v>93</v>
      </c>
      <c r="G291" s="703"/>
      <c r="H291" s="705">
        <v>79</v>
      </c>
      <c r="I291" s="703"/>
      <c r="J291" s="705">
        <v>178</v>
      </c>
      <c r="K291" s="698"/>
      <c r="L291" s="705">
        <v>220</v>
      </c>
      <c r="M291" s="569"/>
      <c r="N291" s="1927">
        <v>220</v>
      </c>
      <c r="O291" s="569"/>
      <c r="P291" s="1927">
        <v>220</v>
      </c>
      <c r="Q291" s="569"/>
      <c r="R291" s="1927">
        <v>220</v>
      </c>
      <c r="S291" s="569"/>
      <c r="T291" s="3191">
        <f t="shared" ref="T291:T292" si="402">(((N291/B291)^(1/6)-1))</f>
        <v>0.28009473915069716</v>
      </c>
      <c r="U291" s="77"/>
      <c r="V291" s="78">
        <f t="shared" ref="V291:V292" si="403">(P291-N291)/N291</f>
        <v>0</v>
      </c>
      <c r="W291" s="77"/>
      <c r="X291" s="3192">
        <f t="shared" ref="X291:X292" si="404">(R291-P291)/P291</f>
        <v>0</v>
      </c>
    </row>
    <row r="292" spans="1:25" s="565" customFormat="1" ht="13.8" thickBot="1">
      <c r="A292" s="633" t="s">
        <v>80</v>
      </c>
      <c r="B292" s="707">
        <v>6.8</v>
      </c>
      <c r="C292" s="1929"/>
      <c r="D292" s="709">
        <v>21.3</v>
      </c>
      <c r="E292" s="708"/>
      <c r="F292" s="709">
        <v>16.2</v>
      </c>
      <c r="G292" s="708"/>
      <c r="H292" s="710">
        <v>14.9</v>
      </c>
      <c r="I292" s="708"/>
      <c r="J292" s="710">
        <v>28.2</v>
      </c>
      <c r="K292" s="711"/>
      <c r="L292" s="710">
        <v>36</v>
      </c>
      <c r="M292" s="97"/>
      <c r="N292" s="1931">
        <v>36</v>
      </c>
      <c r="O292" s="97"/>
      <c r="P292" s="1931">
        <v>36</v>
      </c>
      <c r="Q292" s="97"/>
      <c r="R292" s="1931">
        <v>36</v>
      </c>
      <c r="S292" s="97"/>
      <c r="T292" s="3191">
        <f t="shared" si="402"/>
        <v>0.32017731137833061</v>
      </c>
      <c r="U292" s="77"/>
      <c r="V292" s="78">
        <f t="shared" si="403"/>
        <v>0</v>
      </c>
      <c r="W292" s="77"/>
      <c r="X292" s="3192">
        <f t="shared" si="404"/>
        <v>0</v>
      </c>
      <c r="Y292" s="3259"/>
    </row>
    <row r="293" spans="1:25" s="664" customFormat="1" ht="13.8" thickBot="1">
      <c r="A293" s="111"/>
      <c r="B293" s="112"/>
      <c r="C293" s="112"/>
      <c r="D293" s="112"/>
      <c r="E293" s="112"/>
      <c r="F293" s="113"/>
      <c r="G293" s="112"/>
      <c r="H293" s="112"/>
      <c r="I293" s="112"/>
      <c r="J293" s="112"/>
      <c r="K293" s="112"/>
      <c r="L293" s="112"/>
      <c r="M293" s="112"/>
      <c r="N293" s="112"/>
      <c r="O293" s="112"/>
      <c r="P293" s="112"/>
      <c r="Q293" s="112"/>
      <c r="R293" s="112"/>
      <c r="S293" s="112"/>
      <c r="T293" s="112"/>
      <c r="U293" s="112"/>
      <c r="V293" s="112"/>
      <c r="W293" s="112"/>
      <c r="X293" s="112"/>
    </row>
    <row r="294" spans="1:25" s="665" customFormat="1">
      <c r="A294" s="114" t="s">
        <v>179</v>
      </c>
      <c r="B294" s="674" t="s">
        <v>13</v>
      </c>
      <c r="C294" s="3051"/>
      <c r="D294" s="676" t="s">
        <v>13</v>
      </c>
      <c r="E294" s="675"/>
      <c r="F294" s="677" t="s">
        <v>13</v>
      </c>
      <c r="G294" s="675"/>
      <c r="H294" s="677" t="s">
        <v>13</v>
      </c>
      <c r="I294" s="675"/>
      <c r="J294" s="677" t="s">
        <v>13</v>
      </c>
      <c r="K294" s="675"/>
      <c r="L294" s="678" t="s">
        <v>14</v>
      </c>
      <c r="M294" s="675"/>
      <c r="N294" s="678" t="s">
        <v>15</v>
      </c>
      <c r="O294" s="675"/>
      <c r="P294" s="679" t="s">
        <v>16</v>
      </c>
      <c r="Q294" s="675"/>
      <c r="R294" s="680" t="s">
        <v>16</v>
      </c>
      <c r="S294" s="675"/>
      <c r="T294" s="681" t="s">
        <v>62</v>
      </c>
      <c r="U294" s="682"/>
      <c r="V294" s="683" t="s">
        <v>75</v>
      </c>
      <c r="W294" s="682"/>
      <c r="X294" s="684" t="s">
        <v>75</v>
      </c>
    </row>
    <row r="295" spans="1:25" s="665" customFormat="1" ht="13.8" thickBot="1">
      <c r="A295" s="685"/>
      <c r="B295" s="686" t="s">
        <v>3</v>
      </c>
      <c r="C295" s="3053"/>
      <c r="D295" s="688" t="s">
        <v>4</v>
      </c>
      <c r="E295" s="687"/>
      <c r="F295" s="689" t="s">
        <v>5</v>
      </c>
      <c r="G295" s="687"/>
      <c r="H295" s="690" t="s">
        <v>6</v>
      </c>
      <c r="I295" s="687"/>
      <c r="J295" s="690" t="s">
        <v>7</v>
      </c>
      <c r="K295" s="687"/>
      <c r="L295" s="690" t="s">
        <v>8</v>
      </c>
      <c r="M295" s="687"/>
      <c r="N295" s="690" t="s">
        <v>9</v>
      </c>
      <c r="O295" s="687"/>
      <c r="P295" s="691" t="s">
        <v>10</v>
      </c>
      <c r="Q295" s="687"/>
      <c r="R295" s="692" t="s">
        <v>11</v>
      </c>
      <c r="S295" s="687"/>
      <c r="T295" s="693" t="s">
        <v>63</v>
      </c>
      <c r="U295" s="694"/>
      <c r="V295" s="695" t="s">
        <v>76</v>
      </c>
      <c r="W295" s="694"/>
      <c r="X295" s="696" t="s">
        <v>77</v>
      </c>
    </row>
    <row r="296" spans="1:25" s="664" customFormat="1">
      <c r="A296" s="697" t="s">
        <v>81</v>
      </c>
      <c r="B296" s="115"/>
      <c r="C296" s="3073"/>
      <c r="D296" s="116"/>
      <c r="E296" s="672"/>
      <c r="F296" s="116"/>
      <c r="G296" s="672"/>
      <c r="H296" s="117"/>
      <c r="I296" s="672"/>
      <c r="J296" s="117"/>
      <c r="K296" s="672"/>
      <c r="L296" s="117"/>
      <c r="M296" s="672"/>
      <c r="N296" s="117"/>
      <c r="O296" s="672"/>
      <c r="P296" s="118"/>
      <c r="Q296" s="672"/>
      <c r="R296" s="119"/>
      <c r="S296" s="672"/>
      <c r="T296" s="120"/>
      <c r="U296" s="672"/>
      <c r="V296" s="117"/>
      <c r="W296" s="672"/>
      <c r="X296" s="121"/>
    </row>
    <row r="297" spans="1:25" s="664" customFormat="1">
      <c r="A297" s="666" t="s">
        <v>19</v>
      </c>
      <c r="B297" s="667">
        <f>SUM(B298:B300)</f>
        <v>1368</v>
      </c>
      <c r="C297" s="3065"/>
      <c r="D297" s="669">
        <f>SUM(D298:D300)</f>
        <v>1388</v>
      </c>
      <c r="E297" s="668"/>
      <c r="F297" s="669">
        <f>SUM(F298:F300)</f>
        <v>1361</v>
      </c>
      <c r="G297" s="668"/>
      <c r="H297" s="669">
        <f>SUM(H298:H300)</f>
        <v>1398</v>
      </c>
      <c r="I297" s="668"/>
      <c r="J297" s="669">
        <f>SUM(J298:J300)</f>
        <v>1492</v>
      </c>
      <c r="K297" s="668"/>
      <c r="L297" s="669">
        <f>SUM(L298:L300)</f>
        <v>1726</v>
      </c>
      <c r="M297" s="668"/>
      <c r="N297" s="669">
        <f>SUM(N298:N300)</f>
        <v>1795</v>
      </c>
      <c r="O297" s="668"/>
      <c r="P297" s="669">
        <f>SUM(P298:P300)</f>
        <v>1844</v>
      </c>
      <c r="Q297" s="668"/>
      <c r="R297" s="122">
        <f>SUM(R298:R300)</f>
        <v>1844</v>
      </c>
      <c r="S297" s="668"/>
      <c r="T297" s="3188">
        <f>(((N297/B297)^(1/6)-1))</f>
        <v>4.6316464411752856E-2</v>
      </c>
      <c r="U297" s="25"/>
      <c r="V297" s="3189">
        <f>(P297-N297)/N297</f>
        <v>2.7298050139275765E-2</v>
      </c>
      <c r="W297" s="25"/>
      <c r="X297" s="3190">
        <f>(R297-P297)/P297</f>
        <v>0</v>
      </c>
    </row>
    <row r="298" spans="1:25" s="664" customFormat="1">
      <c r="A298" s="666" t="s">
        <v>20</v>
      </c>
      <c r="B298" s="712">
        <v>1303</v>
      </c>
      <c r="C298" s="1902"/>
      <c r="D298" s="714">
        <v>1301</v>
      </c>
      <c r="E298" s="713"/>
      <c r="F298" s="714">
        <v>1274</v>
      </c>
      <c r="G298" s="713"/>
      <c r="H298" s="714">
        <v>1326</v>
      </c>
      <c r="I298" s="713"/>
      <c r="J298" s="714">
        <v>1414</v>
      </c>
      <c r="K298" s="715"/>
      <c r="L298" s="717">
        <v>1622</v>
      </c>
      <c r="M298" s="713"/>
      <c r="N298" s="714">
        <v>1683</v>
      </c>
      <c r="O298" s="713"/>
      <c r="P298" s="714">
        <v>1723</v>
      </c>
      <c r="Q298" s="713"/>
      <c r="R298" s="716">
        <v>1723</v>
      </c>
      <c r="S298" s="670"/>
      <c r="T298" s="3191">
        <f t="shared" ref="T298:T301" si="405">(((N298/B298)^(1/6)-1))</f>
        <v>4.3574079277854949E-2</v>
      </c>
      <c r="U298" s="77"/>
      <c r="V298" s="78">
        <f t="shared" ref="V298:V309" si="406">(P298-N298)/N298</f>
        <v>2.3767082590612002E-2</v>
      </c>
      <c r="W298" s="77"/>
      <c r="X298" s="3192">
        <f t="shared" ref="X298:X309" si="407">(R298-P298)/P298</f>
        <v>0</v>
      </c>
    </row>
    <row r="299" spans="1:25" s="664" customFormat="1">
      <c r="A299" s="666" t="s">
        <v>17</v>
      </c>
      <c r="B299" s="712">
        <v>65</v>
      </c>
      <c r="C299" s="1902"/>
      <c r="D299" s="714">
        <v>87</v>
      </c>
      <c r="E299" s="713"/>
      <c r="F299" s="714">
        <v>87</v>
      </c>
      <c r="G299" s="713"/>
      <c r="H299" s="714">
        <v>72</v>
      </c>
      <c r="I299" s="713"/>
      <c r="J299" s="714">
        <v>78</v>
      </c>
      <c r="K299" s="715"/>
      <c r="L299" s="717">
        <v>104</v>
      </c>
      <c r="M299" s="713"/>
      <c r="N299" s="714">
        <v>112</v>
      </c>
      <c r="O299" s="713"/>
      <c r="P299" s="714">
        <v>121</v>
      </c>
      <c r="Q299" s="713"/>
      <c r="R299" s="716">
        <v>121</v>
      </c>
      <c r="S299" s="670"/>
      <c r="T299" s="3191">
        <f t="shared" si="405"/>
        <v>9.4924342090306313E-2</v>
      </c>
      <c r="U299" s="77"/>
      <c r="V299" s="78">
        <f t="shared" si="406"/>
        <v>8.0357142857142863E-2</v>
      </c>
      <c r="W299" s="77"/>
      <c r="X299" s="3192">
        <f t="shared" si="407"/>
        <v>0</v>
      </c>
    </row>
    <row r="300" spans="1:25" s="664" customFormat="1">
      <c r="A300" s="666" t="s">
        <v>154</v>
      </c>
      <c r="B300" s="712">
        <v>0</v>
      </c>
      <c r="C300" s="1902"/>
      <c r="D300" s="714">
        <v>0</v>
      </c>
      <c r="E300" s="713"/>
      <c r="F300" s="714">
        <v>0</v>
      </c>
      <c r="G300" s="713"/>
      <c r="H300" s="714">
        <v>0</v>
      </c>
      <c r="I300" s="713"/>
      <c r="J300" s="714">
        <v>0</v>
      </c>
      <c r="K300" s="715"/>
      <c r="L300" s="717">
        <v>0</v>
      </c>
      <c r="M300" s="713"/>
      <c r="N300" s="714">
        <v>0</v>
      </c>
      <c r="O300" s="713"/>
      <c r="P300" s="714">
        <v>0</v>
      </c>
      <c r="Q300" s="713"/>
      <c r="R300" s="716">
        <v>0</v>
      </c>
      <c r="S300" s="670"/>
      <c r="T300" s="3191"/>
      <c r="U300" s="77"/>
      <c r="V300" s="78"/>
      <c r="W300" s="77"/>
      <c r="X300" s="3192"/>
    </row>
    <row r="301" spans="1:25" s="664" customFormat="1">
      <c r="A301" s="666" t="s">
        <v>21</v>
      </c>
      <c r="B301" s="667">
        <f>SUM(B302:B304)</f>
        <v>551</v>
      </c>
      <c r="C301" s="3065"/>
      <c r="D301" s="669">
        <f>SUM(D302:D304)</f>
        <v>546</v>
      </c>
      <c r="E301" s="668"/>
      <c r="F301" s="669">
        <f>SUM(F302:F304)</f>
        <v>566</v>
      </c>
      <c r="G301" s="668"/>
      <c r="H301" s="669">
        <f>SUM(H302:H304)</f>
        <v>601</v>
      </c>
      <c r="I301" s="668"/>
      <c r="J301" s="669">
        <f>SUM(J302:J304)</f>
        <v>642</v>
      </c>
      <c r="K301" s="668"/>
      <c r="L301" s="669">
        <f>SUM(L302:L304)</f>
        <v>692</v>
      </c>
      <c r="M301" s="668"/>
      <c r="N301" s="669">
        <f>SUM(N302:N304)</f>
        <v>698</v>
      </c>
      <c r="O301" s="668"/>
      <c r="P301" s="669">
        <f>SUM(P302:P304)</f>
        <v>699</v>
      </c>
      <c r="Q301" s="668"/>
      <c r="R301" s="122">
        <f>SUM(R302:R304)</f>
        <v>699</v>
      </c>
      <c r="S301" s="670"/>
      <c r="T301" s="3197">
        <f t="shared" si="405"/>
        <v>4.020108865108285E-2</v>
      </c>
      <c r="U301" s="1480"/>
      <c r="V301" s="1479">
        <f t="shared" si="406"/>
        <v>1.4326647564469914E-3</v>
      </c>
      <c r="W301" s="1480"/>
      <c r="X301" s="3198">
        <f t="shared" si="407"/>
        <v>0</v>
      </c>
    </row>
    <row r="302" spans="1:25" s="664" customFormat="1">
      <c r="A302" s="666" t="s">
        <v>20</v>
      </c>
      <c r="B302" s="718">
        <v>356</v>
      </c>
      <c r="C302" s="1902"/>
      <c r="D302" s="720">
        <v>355</v>
      </c>
      <c r="E302" s="719"/>
      <c r="F302" s="720">
        <v>360</v>
      </c>
      <c r="G302" s="719"/>
      <c r="H302" s="720">
        <v>364</v>
      </c>
      <c r="I302" s="719"/>
      <c r="J302" s="720">
        <v>415</v>
      </c>
      <c r="K302" s="721"/>
      <c r="L302" s="724">
        <v>470</v>
      </c>
      <c r="M302" s="719"/>
      <c r="N302" s="720">
        <v>476</v>
      </c>
      <c r="O302" s="719"/>
      <c r="P302" s="723">
        <v>476</v>
      </c>
      <c r="Q302" s="719"/>
      <c r="R302" s="722">
        <v>476</v>
      </c>
      <c r="S302" s="670"/>
      <c r="T302" s="3191">
        <f>(((N302/B302)^(1/6)-1))</f>
        <v>4.96056482859768E-2</v>
      </c>
      <c r="U302" s="77"/>
      <c r="V302" s="78">
        <f t="shared" si="406"/>
        <v>0</v>
      </c>
      <c r="W302" s="77"/>
      <c r="X302" s="3192">
        <f t="shared" si="407"/>
        <v>0</v>
      </c>
    </row>
    <row r="303" spans="1:25" s="664" customFormat="1">
      <c r="A303" s="666" t="s">
        <v>17</v>
      </c>
      <c r="B303" s="718">
        <v>195</v>
      </c>
      <c r="C303" s="1902"/>
      <c r="D303" s="720">
        <v>191</v>
      </c>
      <c r="E303" s="719"/>
      <c r="F303" s="720">
        <v>206</v>
      </c>
      <c r="G303" s="719"/>
      <c r="H303" s="720">
        <v>237</v>
      </c>
      <c r="I303" s="719"/>
      <c r="J303" s="720">
        <v>227</v>
      </c>
      <c r="K303" s="721"/>
      <c r="L303" s="724">
        <v>222</v>
      </c>
      <c r="M303" s="719"/>
      <c r="N303" s="720">
        <v>222</v>
      </c>
      <c r="O303" s="719"/>
      <c r="P303" s="723">
        <v>223</v>
      </c>
      <c r="Q303" s="719"/>
      <c r="R303" s="722">
        <v>223</v>
      </c>
      <c r="S303" s="670"/>
      <c r="T303" s="3191">
        <f t="shared" ref="T303:T307" si="408">(((N303/B303)^(1/6)-1))</f>
        <v>2.1848222574211373E-2</v>
      </c>
      <c r="U303" s="77"/>
      <c r="V303" s="78">
        <f t="shared" si="406"/>
        <v>4.5045045045045045E-3</v>
      </c>
      <c r="W303" s="77"/>
      <c r="X303" s="3192">
        <f t="shared" si="407"/>
        <v>0</v>
      </c>
    </row>
    <row r="304" spans="1:25" s="664" customFormat="1">
      <c r="A304" s="666" t="s">
        <v>154</v>
      </c>
      <c r="B304" s="718">
        <v>0</v>
      </c>
      <c r="C304" s="1902"/>
      <c r="D304" s="720">
        <v>0</v>
      </c>
      <c r="E304" s="719"/>
      <c r="F304" s="720">
        <v>0</v>
      </c>
      <c r="G304" s="719"/>
      <c r="H304" s="720">
        <v>0</v>
      </c>
      <c r="I304" s="719"/>
      <c r="J304" s="720">
        <v>0</v>
      </c>
      <c r="K304" s="721"/>
      <c r="L304" s="724">
        <v>0</v>
      </c>
      <c r="M304" s="719"/>
      <c r="N304" s="720">
        <v>0</v>
      </c>
      <c r="O304" s="719"/>
      <c r="P304" s="723">
        <v>0</v>
      </c>
      <c r="Q304" s="719"/>
      <c r="R304" s="722">
        <v>0</v>
      </c>
      <c r="S304" s="670"/>
      <c r="T304" s="3191"/>
      <c r="U304" s="77"/>
      <c r="V304" s="78"/>
      <c r="W304" s="77"/>
      <c r="X304" s="3192"/>
    </row>
    <row r="305" spans="1:24" s="664" customFormat="1">
      <c r="A305" s="699" t="s">
        <v>22</v>
      </c>
      <c r="B305" s="667">
        <f>SUM(B306:B308)</f>
        <v>1541</v>
      </c>
      <c r="C305" s="3065"/>
      <c r="D305" s="669">
        <f>SUM(D306:D308)</f>
        <v>1559</v>
      </c>
      <c r="E305" s="668"/>
      <c r="F305" s="669">
        <f>SUM(F306:F308)</f>
        <v>1596</v>
      </c>
      <c r="G305" s="668"/>
      <c r="H305" s="669">
        <f>SUM(H306:H308)</f>
        <v>1649</v>
      </c>
      <c r="I305" s="668"/>
      <c r="J305" s="669">
        <f>SUM(J306:J308)</f>
        <v>1688</v>
      </c>
      <c r="K305" s="668"/>
      <c r="L305" s="669">
        <f>SUM(L306:L308)</f>
        <v>1688</v>
      </c>
      <c r="M305" s="668"/>
      <c r="N305" s="669">
        <f>SUM(N306:N308)</f>
        <v>1715</v>
      </c>
      <c r="O305" s="668"/>
      <c r="P305" s="669">
        <f>SUM(P306:P308)</f>
        <v>1718</v>
      </c>
      <c r="Q305" s="668"/>
      <c r="R305" s="122">
        <f>SUM(R306:R308)</f>
        <v>1718</v>
      </c>
      <c r="S305" s="670"/>
      <c r="T305" s="3197">
        <f t="shared" si="408"/>
        <v>1.7990162012390565E-2</v>
      </c>
      <c r="U305" s="1480"/>
      <c r="V305" s="1479">
        <f t="shared" si="406"/>
        <v>1.749271137026239E-3</v>
      </c>
      <c r="W305" s="1480"/>
      <c r="X305" s="3198">
        <f t="shared" si="407"/>
        <v>0</v>
      </c>
    </row>
    <row r="306" spans="1:24" s="664" customFormat="1">
      <c r="A306" s="666" t="s">
        <v>20</v>
      </c>
      <c r="B306" s="730">
        <v>1317</v>
      </c>
      <c r="C306" s="1902"/>
      <c r="D306" s="731">
        <v>1305</v>
      </c>
      <c r="E306" s="725"/>
      <c r="F306" s="731">
        <v>1328</v>
      </c>
      <c r="G306" s="725"/>
      <c r="H306" s="731">
        <v>1370</v>
      </c>
      <c r="I306" s="725"/>
      <c r="J306" s="731">
        <v>1394</v>
      </c>
      <c r="K306" s="727"/>
      <c r="L306" s="739">
        <v>1392</v>
      </c>
      <c r="M306" s="725"/>
      <c r="N306" s="726">
        <v>1419</v>
      </c>
      <c r="O306" s="725"/>
      <c r="P306" s="729">
        <v>1419</v>
      </c>
      <c r="Q306" s="725"/>
      <c r="R306" s="728">
        <v>1419</v>
      </c>
      <c r="S306" s="670"/>
      <c r="T306" s="3191">
        <f t="shared" si="408"/>
        <v>1.2510269405118457E-2</v>
      </c>
      <c r="U306" s="77"/>
      <c r="V306" s="78">
        <f t="shared" si="406"/>
        <v>0</v>
      </c>
      <c r="W306" s="77"/>
      <c r="X306" s="3192">
        <f t="shared" si="407"/>
        <v>0</v>
      </c>
    </row>
    <row r="307" spans="1:24" s="664" customFormat="1">
      <c r="A307" s="666" t="s">
        <v>17</v>
      </c>
      <c r="B307" s="730">
        <v>224</v>
      </c>
      <c r="C307" s="1902"/>
      <c r="D307" s="731">
        <v>254</v>
      </c>
      <c r="E307" s="725"/>
      <c r="F307" s="731">
        <v>268</v>
      </c>
      <c r="G307" s="725"/>
      <c r="H307" s="731">
        <v>279</v>
      </c>
      <c r="I307" s="725"/>
      <c r="J307" s="731">
        <v>294</v>
      </c>
      <c r="K307" s="727"/>
      <c r="L307" s="739">
        <v>296</v>
      </c>
      <c r="M307" s="725"/>
      <c r="N307" s="726">
        <v>296</v>
      </c>
      <c r="O307" s="725"/>
      <c r="P307" s="729">
        <v>299</v>
      </c>
      <c r="Q307" s="725"/>
      <c r="R307" s="728">
        <v>299</v>
      </c>
      <c r="S307" s="670"/>
      <c r="T307" s="3191">
        <f t="shared" si="408"/>
        <v>4.7548040426469207E-2</v>
      </c>
      <c r="U307" s="77"/>
      <c r="V307" s="78">
        <f t="shared" si="406"/>
        <v>1.0135135135135136E-2</v>
      </c>
      <c r="W307" s="77"/>
      <c r="X307" s="3192">
        <f t="shared" si="407"/>
        <v>0</v>
      </c>
    </row>
    <row r="308" spans="1:24" s="664" customFormat="1" ht="13.8" thickBot="1">
      <c r="A308" s="102" t="s">
        <v>154</v>
      </c>
      <c r="B308" s="732">
        <v>0</v>
      </c>
      <c r="C308" s="1909"/>
      <c r="D308" s="734">
        <v>0</v>
      </c>
      <c r="E308" s="733"/>
      <c r="F308" s="734">
        <v>0</v>
      </c>
      <c r="G308" s="733"/>
      <c r="H308" s="734">
        <v>0</v>
      </c>
      <c r="I308" s="733"/>
      <c r="J308" s="734">
        <v>0</v>
      </c>
      <c r="K308" s="735"/>
      <c r="L308" s="740">
        <v>0</v>
      </c>
      <c r="M308" s="733"/>
      <c r="N308" s="736">
        <v>0</v>
      </c>
      <c r="O308" s="733"/>
      <c r="P308" s="737">
        <v>0</v>
      </c>
      <c r="Q308" s="733"/>
      <c r="R308" s="738">
        <v>0</v>
      </c>
      <c r="S308" s="671"/>
      <c r="T308" s="3193"/>
      <c r="U308" s="3194"/>
      <c r="V308" s="3195"/>
      <c r="W308" s="3194"/>
      <c r="X308" s="3196"/>
    </row>
    <row r="309" spans="1:24" s="664" customFormat="1" ht="13.8" thickTop="1">
      <c r="A309" s="701" t="s">
        <v>23</v>
      </c>
      <c r="B309" s="123">
        <f>B297+B301+B305</f>
        <v>3460</v>
      </c>
      <c r="C309" s="124"/>
      <c r="D309" s="673">
        <f>D297+D301+D305</f>
        <v>3493</v>
      </c>
      <c r="E309" s="124"/>
      <c r="F309" s="673">
        <f>F297+F301+F305</f>
        <v>3523</v>
      </c>
      <c r="G309" s="124"/>
      <c r="H309" s="673">
        <f>H297+H301+H305</f>
        <v>3648</v>
      </c>
      <c r="I309" s="124"/>
      <c r="J309" s="673">
        <f>J297+J301+J305</f>
        <v>3822</v>
      </c>
      <c r="K309" s="124"/>
      <c r="L309" s="673">
        <f>L297+L301+L305</f>
        <v>4106</v>
      </c>
      <c r="M309" s="124"/>
      <c r="N309" s="673">
        <f>N297+N301+N305</f>
        <v>4208</v>
      </c>
      <c r="O309" s="124"/>
      <c r="P309" s="669">
        <f>P297+P301+P305</f>
        <v>4261</v>
      </c>
      <c r="Q309" s="124"/>
      <c r="R309" s="122">
        <f>R297+R301+R305</f>
        <v>4261</v>
      </c>
      <c r="S309" s="124"/>
      <c r="T309" s="3197">
        <f t="shared" ref="T309" si="409">(((N309/B309)^(1/6)-1))</f>
        <v>3.315767288931637E-2</v>
      </c>
      <c r="U309" s="1480"/>
      <c r="V309" s="1479">
        <f t="shared" si="406"/>
        <v>1.2595057034220532E-2</v>
      </c>
      <c r="W309" s="1480"/>
      <c r="X309" s="3198">
        <f t="shared" si="407"/>
        <v>0</v>
      </c>
    </row>
    <row r="310" spans="1:24" s="664" customFormat="1" ht="8.25" customHeight="1" thickBot="1">
      <c r="A310" s="700"/>
      <c r="B310" s="126"/>
      <c r="C310" s="3068"/>
      <c r="D310" s="670"/>
      <c r="E310" s="670"/>
      <c r="F310" s="670"/>
      <c r="G310" s="670"/>
      <c r="H310" s="670"/>
      <c r="I310" s="670"/>
      <c r="J310" s="670"/>
      <c r="K310" s="670"/>
      <c r="L310" s="670"/>
      <c r="M310" s="670"/>
      <c r="N310" s="670"/>
      <c r="O310" s="670"/>
      <c r="P310" s="668"/>
      <c r="Q310" s="670"/>
      <c r="R310" s="127"/>
      <c r="S310" s="670"/>
      <c r="T310" s="84"/>
      <c r="U310" s="34"/>
      <c r="V310" s="34"/>
      <c r="W310" s="34"/>
      <c r="X310" s="42"/>
    </row>
    <row r="311" spans="1:24" s="664" customFormat="1">
      <c r="A311" s="697" t="s">
        <v>24</v>
      </c>
      <c r="B311" s="115"/>
      <c r="C311" s="3073"/>
      <c r="D311" s="116"/>
      <c r="E311" s="672"/>
      <c r="F311" s="116"/>
      <c r="G311" s="672"/>
      <c r="H311" s="117"/>
      <c r="I311" s="672"/>
      <c r="J311" s="117"/>
      <c r="K311" s="672"/>
      <c r="L311" s="117"/>
      <c r="M311" s="672"/>
      <c r="N311" s="117"/>
      <c r="O311" s="672"/>
      <c r="P311" s="118"/>
      <c r="Q311" s="672"/>
      <c r="R311" s="119"/>
      <c r="S311" s="672"/>
      <c r="T311" s="86"/>
      <c r="U311" s="45"/>
      <c r="V311" s="47"/>
      <c r="W311" s="45"/>
      <c r="X311" s="85"/>
    </row>
    <row r="312" spans="1:24" s="664" customFormat="1">
      <c r="A312" s="666" t="s">
        <v>19</v>
      </c>
      <c r="B312" s="667">
        <f>SUM(B313:B315)</f>
        <v>995.73</v>
      </c>
      <c r="C312" s="3065"/>
      <c r="D312" s="669">
        <f>SUM(D313:D315)</f>
        <v>1015.17</v>
      </c>
      <c r="E312" s="668"/>
      <c r="F312" s="669">
        <f>SUM(F313:F315)</f>
        <v>1012.7</v>
      </c>
      <c r="G312" s="668"/>
      <c r="H312" s="669">
        <f>SUM(H313:H315)</f>
        <v>1059.8399999999999</v>
      </c>
      <c r="I312" s="668"/>
      <c r="J312" s="669">
        <f>SUM(J313:J315)</f>
        <v>1119.6999999999998</v>
      </c>
      <c r="K312" s="668"/>
      <c r="L312" s="669">
        <f>SUM(L313:L315)</f>
        <v>1285.4399999999998</v>
      </c>
      <c r="M312" s="668"/>
      <c r="N312" s="669">
        <f>SUM(N313:N315)</f>
        <v>1337</v>
      </c>
      <c r="O312" s="668"/>
      <c r="P312" s="669">
        <f>SUM(P313:P315)</f>
        <v>1374</v>
      </c>
      <c r="Q312" s="668"/>
      <c r="R312" s="122">
        <f>SUM(R313:R315)</f>
        <v>1374</v>
      </c>
      <c r="S312" s="668"/>
      <c r="T312" s="3188">
        <f>(((N312/B312)^(1/6)-1))</f>
        <v>5.0344186127064816E-2</v>
      </c>
      <c r="U312" s="25"/>
      <c r="V312" s="3189">
        <f>(P312-N312)/N312</f>
        <v>2.7673896783844427E-2</v>
      </c>
      <c r="W312" s="25"/>
      <c r="X312" s="3190">
        <f>(R312-P312)/P312</f>
        <v>0</v>
      </c>
    </row>
    <row r="313" spans="1:24" s="664" customFormat="1">
      <c r="A313" s="666" t="s">
        <v>20</v>
      </c>
      <c r="B313" s="741">
        <v>948.53</v>
      </c>
      <c r="C313" s="1916"/>
      <c r="D313" s="743">
        <v>954.27</v>
      </c>
      <c r="E313" s="742"/>
      <c r="F313" s="743">
        <v>946.7</v>
      </c>
      <c r="G313" s="742"/>
      <c r="H313" s="743">
        <v>1003.97</v>
      </c>
      <c r="I313" s="742"/>
      <c r="J313" s="743">
        <v>1056.8699999999999</v>
      </c>
      <c r="K313" s="742"/>
      <c r="L313" s="743">
        <v>1205.8699999999999</v>
      </c>
      <c r="M313" s="742"/>
      <c r="N313" s="743">
        <v>1251</v>
      </c>
      <c r="O313" s="742"/>
      <c r="P313" s="744">
        <v>1281</v>
      </c>
      <c r="Q313" s="742"/>
      <c r="R313" s="745">
        <v>1281</v>
      </c>
      <c r="S313" s="670"/>
      <c r="T313" s="3191">
        <f t="shared" ref="T313:T316" si="410">(((N313/B313)^(1/6)-1))</f>
        <v>4.721142833450509E-2</v>
      </c>
      <c r="U313" s="77"/>
      <c r="V313" s="78">
        <f t="shared" ref="V313:V322" si="411">(P313-N313)/N313</f>
        <v>2.3980815347721823E-2</v>
      </c>
      <c r="W313" s="77"/>
      <c r="X313" s="3192">
        <f t="shared" ref="X313:X322" si="412">(R313-P313)/P313</f>
        <v>0</v>
      </c>
    </row>
    <row r="314" spans="1:24" s="664" customFormat="1">
      <c r="A314" s="666" t="s">
        <v>17</v>
      </c>
      <c r="B314" s="741">
        <v>47.2</v>
      </c>
      <c r="C314" s="1916"/>
      <c r="D314" s="743">
        <v>60.9</v>
      </c>
      <c r="E314" s="742"/>
      <c r="F314" s="743">
        <v>66</v>
      </c>
      <c r="G314" s="742"/>
      <c r="H314" s="743">
        <v>55.87</v>
      </c>
      <c r="I314" s="742"/>
      <c r="J314" s="743">
        <v>62.83</v>
      </c>
      <c r="K314" s="742"/>
      <c r="L314" s="743">
        <v>79.569999999999993</v>
      </c>
      <c r="M314" s="742"/>
      <c r="N314" s="743">
        <v>86</v>
      </c>
      <c r="O314" s="742"/>
      <c r="P314" s="744">
        <v>93</v>
      </c>
      <c r="Q314" s="742"/>
      <c r="R314" s="745">
        <v>93</v>
      </c>
      <c r="S314" s="670"/>
      <c r="T314" s="3191">
        <f t="shared" si="410"/>
        <v>0.10516233528936669</v>
      </c>
      <c r="U314" s="77"/>
      <c r="V314" s="78">
        <f t="shared" si="411"/>
        <v>8.1395348837209308E-2</v>
      </c>
      <c r="W314" s="77"/>
      <c r="X314" s="3192">
        <f t="shared" si="412"/>
        <v>0</v>
      </c>
    </row>
    <row r="315" spans="1:24" s="664" customFormat="1">
      <c r="A315" s="666" t="s">
        <v>154</v>
      </c>
      <c r="B315" s="741">
        <v>0</v>
      </c>
      <c r="C315" s="1916"/>
      <c r="D315" s="743">
        <v>0</v>
      </c>
      <c r="E315" s="742"/>
      <c r="F315" s="743">
        <v>0</v>
      </c>
      <c r="G315" s="742"/>
      <c r="H315" s="743">
        <v>0</v>
      </c>
      <c r="I315" s="742"/>
      <c r="J315" s="743">
        <v>0</v>
      </c>
      <c r="K315" s="742"/>
      <c r="L315" s="743">
        <v>0</v>
      </c>
      <c r="M315" s="742"/>
      <c r="N315" s="743">
        <v>0</v>
      </c>
      <c r="O315" s="742"/>
      <c r="P315" s="744">
        <v>0</v>
      </c>
      <c r="Q315" s="742"/>
      <c r="R315" s="745">
        <v>0</v>
      </c>
      <c r="S315" s="670"/>
      <c r="T315" s="3191"/>
      <c r="U315" s="77"/>
      <c r="V315" s="78"/>
      <c r="W315" s="77"/>
      <c r="X315" s="3192"/>
    </row>
    <row r="316" spans="1:24" s="664" customFormat="1">
      <c r="A316" s="666" t="s">
        <v>21</v>
      </c>
      <c r="B316" s="667">
        <f>SUM(B317:B319)</f>
        <v>414.27</v>
      </c>
      <c r="C316" s="3065"/>
      <c r="D316" s="669">
        <f>SUM(D317:D319)</f>
        <v>401.15</v>
      </c>
      <c r="E316" s="668"/>
      <c r="F316" s="669">
        <f>SUM(F317:F319)</f>
        <v>413.98</v>
      </c>
      <c r="G316" s="668"/>
      <c r="H316" s="669">
        <f>SUM(H317:H319)</f>
        <v>432.02</v>
      </c>
      <c r="I316" s="668"/>
      <c r="J316" s="669">
        <f>SUM(J317:J319)</f>
        <v>487.19000000000005</v>
      </c>
      <c r="K316" s="668"/>
      <c r="L316" s="669">
        <f>SUM(L317:L319)</f>
        <v>502.63</v>
      </c>
      <c r="M316" s="668"/>
      <c r="N316" s="669">
        <f>SUM(N317:N319)</f>
        <v>507</v>
      </c>
      <c r="O316" s="668"/>
      <c r="P316" s="669">
        <f>SUM(P317:P319)</f>
        <v>508</v>
      </c>
      <c r="Q316" s="668"/>
      <c r="R316" s="122">
        <f>SUM(R317:R319)</f>
        <v>508</v>
      </c>
      <c r="S316" s="670"/>
      <c r="T316" s="3197">
        <f t="shared" si="410"/>
        <v>3.4238607845449076E-2</v>
      </c>
      <c r="U316" s="1480"/>
      <c r="V316" s="1479">
        <f t="shared" si="411"/>
        <v>1.9723865877712033E-3</v>
      </c>
      <c r="W316" s="1480"/>
      <c r="X316" s="3198">
        <f t="shared" si="412"/>
        <v>0</v>
      </c>
    </row>
    <row r="317" spans="1:24" s="664" customFormat="1">
      <c r="A317" s="666" t="s">
        <v>20</v>
      </c>
      <c r="B317" s="750">
        <v>241.67</v>
      </c>
      <c r="C317" s="1916"/>
      <c r="D317" s="747">
        <v>245.38</v>
      </c>
      <c r="E317" s="746"/>
      <c r="F317" s="747">
        <v>228.92</v>
      </c>
      <c r="G317" s="746"/>
      <c r="H317" s="747">
        <v>239.98</v>
      </c>
      <c r="I317" s="746"/>
      <c r="J317" s="747">
        <v>298.04000000000002</v>
      </c>
      <c r="K317" s="746"/>
      <c r="L317" s="747">
        <v>318.73</v>
      </c>
      <c r="M317" s="746"/>
      <c r="N317" s="747">
        <v>323</v>
      </c>
      <c r="O317" s="746"/>
      <c r="P317" s="748">
        <v>323</v>
      </c>
      <c r="Q317" s="746"/>
      <c r="R317" s="749">
        <v>323</v>
      </c>
      <c r="S317" s="670"/>
      <c r="T317" s="3191">
        <f>(((N317/B317)^(1/6)-1))</f>
        <v>4.9534284638837578E-2</v>
      </c>
      <c r="U317" s="77"/>
      <c r="V317" s="78">
        <f t="shared" si="411"/>
        <v>0</v>
      </c>
      <c r="W317" s="77"/>
      <c r="X317" s="3192">
        <f t="shared" si="412"/>
        <v>0</v>
      </c>
    </row>
    <row r="318" spans="1:24" s="664" customFormat="1">
      <c r="A318" s="666" t="s">
        <v>17</v>
      </c>
      <c r="B318" s="750">
        <v>172.6</v>
      </c>
      <c r="C318" s="1916"/>
      <c r="D318" s="747">
        <v>155.77000000000001</v>
      </c>
      <c r="E318" s="746"/>
      <c r="F318" s="747">
        <v>185.06</v>
      </c>
      <c r="G318" s="746"/>
      <c r="H318" s="747">
        <v>192.04</v>
      </c>
      <c r="I318" s="746"/>
      <c r="J318" s="747">
        <v>189.15</v>
      </c>
      <c r="K318" s="746"/>
      <c r="L318" s="747">
        <v>183.9</v>
      </c>
      <c r="M318" s="746"/>
      <c r="N318" s="747">
        <v>184</v>
      </c>
      <c r="O318" s="746"/>
      <c r="P318" s="748">
        <v>185</v>
      </c>
      <c r="Q318" s="746"/>
      <c r="R318" s="749">
        <v>185</v>
      </c>
      <c r="S318" s="670"/>
      <c r="T318" s="3191">
        <f t="shared" ref="T318:T322" si="413">(((N318/B318)^(1/6)-1))</f>
        <v>1.0716848234648246E-2</v>
      </c>
      <c r="U318" s="77"/>
      <c r="V318" s="78">
        <f t="shared" si="411"/>
        <v>5.434782608695652E-3</v>
      </c>
      <c r="W318" s="77"/>
      <c r="X318" s="3192">
        <f t="shared" si="412"/>
        <v>0</v>
      </c>
    </row>
    <row r="319" spans="1:24" s="664" customFormat="1">
      <c r="A319" s="666" t="s">
        <v>154</v>
      </c>
      <c r="B319" s="750">
        <v>0</v>
      </c>
      <c r="C319" s="1916"/>
      <c r="D319" s="747">
        <v>0</v>
      </c>
      <c r="E319" s="746"/>
      <c r="F319" s="747">
        <v>0</v>
      </c>
      <c r="G319" s="746"/>
      <c r="H319" s="747">
        <v>0</v>
      </c>
      <c r="I319" s="746"/>
      <c r="J319" s="747">
        <v>0</v>
      </c>
      <c r="K319" s="746"/>
      <c r="L319" s="747">
        <v>0</v>
      </c>
      <c r="M319" s="746"/>
      <c r="N319" s="747">
        <v>0</v>
      </c>
      <c r="O319" s="746"/>
      <c r="P319" s="748">
        <v>0</v>
      </c>
      <c r="Q319" s="746"/>
      <c r="R319" s="749">
        <v>0</v>
      </c>
      <c r="S319" s="670"/>
      <c r="T319" s="3191"/>
      <c r="U319" s="77"/>
      <c r="V319" s="78"/>
      <c r="W319" s="77"/>
      <c r="X319" s="3192"/>
    </row>
    <row r="320" spans="1:24" s="664" customFormat="1">
      <c r="A320" s="699" t="s">
        <v>22</v>
      </c>
      <c r="B320" s="667">
        <f>SUM(B321:B323)</f>
        <v>2797.7799999999997</v>
      </c>
      <c r="C320" s="3065"/>
      <c r="D320" s="669">
        <f>SUM(D321:D323)</f>
        <v>2834.39</v>
      </c>
      <c r="E320" s="668"/>
      <c r="F320" s="669">
        <f>SUM(F321:F323)</f>
        <v>2927.71</v>
      </c>
      <c r="G320" s="668"/>
      <c r="H320" s="669">
        <f>SUM(H321:H323)</f>
        <v>3045.8</v>
      </c>
      <c r="I320" s="668"/>
      <c r="J320" s="669">
        <f>SUM(J321:J323)</f>
        <v>3075.19</v>
      </c>
      <c r="K320" s="668"/>
      <c r="L320" s="669">
        <f>SUM(L321:L323)</f>
        <v>3091.77</v>
      </c>
      <c r="M320" s="668"/>
      <c r="N320" s="669">
        <f>SUM(N321:N323)</f>
        <v>3141</v>
      </c>
      <c r="O320" s="668"/>
      <c r="P320" s="669">
        <f>SUM(P321:P323)</f>
        <v>3146</v>
      </c>
      <c r="Q320" s="668"/>
      <c r="R320" s="122">
        <f>SUM(R321:R323)</f>
        <v>3146</v>
      </c>
      <c r="S320" s="670"/>
      <c r="T320" s="3197">
        <f t="shared" si="413"/>
        <v>1.9473002094655412E-2</v>
      </c>
      <c r="U320" s="1480"/>
      <c r="V320" s="1479">
        <f t="shared" si="411"/>
        <v>1.5918497293855461E-3</v>
      </c>
      <c r="W320" s="1480"/>
      <c r="X320" s="3198">
        <f t="shared" si="412"/>
        <v>0</v>
      </c>
    </row>
    <row r="321" spans="1:25" s="664" customFormat="1">
      <c r="A321" s="666" t="s">
        <v>20</v>
      </c>
      <c r="B321" s="791">
        <v>2365.75</v>
      </c>
      <c r="C321" s="1916"/>
      <c r="D321" s="792">
        <v>2351.91</v>
      </c>
      <c r="E321" s="787"/>
      <c r="F321" s="792">
        <v>2414.23</v>
      </c>
      <c r="G321" s="787"/>
      <c r="H321" s="792">
        <v>2510.13</v>
      </c>
      <c r="I321" s="787"/>
      <c r="J321" s="792">
        <v>2532.85</v>
      </c>
      <c r="K321" s="787"/>
      <c r="L321" s="788">
        <v>2540.58</v>
      </c>
      <c r="M321" s="787"/>
      <c r="N321" s="788">
        <v>2590</v>
      </c>
      <c r="O321" s="787"/>
      <c r="P321" s="789">
        <v>2590</v>
      </c>
      <c r="Q321" s="787"/>
      <c r="R321" s="790">
        <v>2590</v>
      </c>
      <c r="S321" s="670"/>
      <c r="T321" s="3191">
        <f t="shared" si="413"/>
        <v>1.5208283185443427E-2</v>
      </c>
      <c r="U321" s="77"/>
      <c r="V321" s="78">
        <f t="shared" si="411"/>
        <v>0</v>
      </c>
      <c r="W321" s="77"/>
      <c r="X321" s="3192">
        <f t="shared" si="412"/>
        <v>0</v>
      </c>
    </row>
    <row r="322" spans="1:25" s="664" customFormat="1">
      <c r="A322" s="666" t="s">
        <v>17</v>
      </c>
      <c r="B322" s="791">
        <v>432.03</v>
      </c>
      <c r="C322" s="1916"/>
      <c r="D322" s="792">
        <v>482.48</v>
      </c>
      <c r="E322" s="787"/>
      <c r="F322" s="792">
        <v>513.48</v>
      </c>
      <c r="G322" s="787"/>
      <c r="H322" s="792">
        <v>535.66999999999996</v>
      </c>
      <c r="I322" s="787"/>
      <c r="J322" s="792">
        <v>542.34</v>
      </c>
      <c r="K322" s="787"/>
      <c r="L322" s="788">
        <v>551.19000000000005</v>
      </c>
      <c r="M322" s="787"/>
      <c r="N322" s="788">
        <v>551</v>
      </c>
      <c r="O322" s="787"/>
      <c r="P322" s="789">
        <v>556</v>
      </c>
      <c r="Q322" s="787"/>
      <c r="R322" s="790">
        <v>556</v>
      </c>
      <c r="S322" s="670"/>
      <c r="T322" s="3191">
        <f t="shared" si="413"/>
        <v>4.1372925409138839E-2</v>
      </c>
      <c r="U322" s="77"/>
      <c r="V322" s="78">
        <f t="shared" si="411"/>
        <v>9.0744101633393835E-3</v>
      </c>
      <c r="W322" s="77"/>
      <c r="X322" s="3192">
        <f t="shared" si="412"/>
        <v>0</v>
      </c>
    </row>
    <row r="323" spans="1:25" s="664" customFormat="1" ht="13.8" thickBot="1">
      <c r="A323" s="102" t="s">
        <v>154</v>
      </c>
      <c r="B323" s="793">
        <v>0</v>
      </c>
      <c r="C323" s="1921"/>
      <c r="D323" s="795">
        <v>0</v>
      </c>
      <c r="E323" s="794"/>
      <c r="F323" s="795">
        <v>0</v>
      </c>
      <c r="G323" s="794"/>
      <c r="H323" s="795">
        <v>0</v>
      </c>
      <c r="I323" s="794"/>
      <c r="J323" s="795">
        <v>0</v>
      </c>
      <c r="K323" s="794"/>
      <c r="L323" s="796">
        <v>0</v>
      </c>
      <c r="M323" s="794"/>
      <c r="N323" s="796">
        <v>0</v>
      </c>
      <c r="O323" s="794"/>
      <c r="P323" s="797">
        <v>0</v>
      </c>
      <c r="Q323" s="794"/>
      <c r="R323" s="798">
        <v>0</v>
      </c>
      <c r="S323" s="671"/>
      <c r="T323" s="3193"/>
      <c r="U323" s="3194"/>
      <c r="V323" s="3195"/>
      <c r="W323" s="3194"/>
      <c r="X323" s="3196"/>
    </row>
    <row r="324" spans="1:25" s="664" customFormat="1" ht="13.8" thickTop="1">
      <c r="A324" s="701" t="s">
        <v>25</v>
      </c>
      <c r="B324" s="123">
        <f>B312+B316+B320</f>
        <v>4207.78</v>
      </c>
      <c r="C324" s="124"/>
      <c r="D324" s="673">
        <f>D312+D316+D320</f>
        <v>4250.71</v>
      </c>
      <c r="E324" s="124"/>
      <c r="F324" s="673">
        <f>F312+F316+F320</f>
        <v>4354.3900000000003</v>
      </c>
      <c r="G324" s="124"/>
      <c r="H324" s="673">
        <f>H312+H316+H320</f>
        <v>4537.66</v>
      </c>
      <c r="I324" s="124"/>
      <c r="J324" s="673">
        <f>J312+J316+J320</f>
        <v>4682.08</v>
      </c>
      <c r="K324" s="124"/>
      <c r="L324" s="673">
        <f>L312+L316+L320</f>
        <v>4879.84</v>
      </c>
      <c r="M324" s="124"/>
      <c r="N324" s="673">
        <f>N312+N316+N320</f>
        <v>4985</v>
      </c>
      <c r="O324" s="124"/>
      <c r="P324" s="669">
        <f>P312+P316+P320</f>
        <v>5028</v>
      </c>
      <c r="Q324" s="124"/>
      <c r="R324" s="122">
        <f>R312+R316+R320</f>
        <v>5028</v>
      </c>
      <c r="S324" s="124"/>
      <c r="T324" s="3197">
        <f t="shared" ref="T324" si="414">(((N324/B324)^(1/6)-1))</f>
        <v>2.8652508723594483E-2</v>
      </c>
      <c r="U324" s="1480"/>
      <c r="V324" s="1479">
        <f t="shared" ref="V324" si="415">(P324-N324)/N324</f>
        <v>8.6258776328986958E-3</v>
      </c>
      <c r="W324" s="1480"/>
      <c r="X324" s="3198">
        <f t="shared" ref="X324" si="416">(R324-P324)/P324</f>
        <v>0</v>
      </c>
    </row>
    <row r="325" spans="1:25" s="664" customFormat="1" ht="8.25" customHeight="1" thickBot="1">
      <c r="A325" s="700"/>
      <c r="B325" s="126"/>
      <c r="C325" s="3068"/>
      <c r="D325" s="670"/>
      <c r="E325" s="670"/>
      <c r="F325" s="670"/>
      <c r="G325" s="670"/>
      <c r="H325" s="670"/>
      <c r="I325" s="670"/>
      <c r="J325" s="670"/>
      <c r="K325" s="670"/>
      <c r="L325" s="670"/>
      <c r="M325" s="670"/>
      <c r="N325" s="670"/>
      <c r="O325" s="670"/>
      <c r="P325" s="668"/>
      <c r="Q325" s="670"/>
      <c r="R325" s="127"/>
      <c r="S325" s="670"/>
      <c r="T325" s="84"/>
      <c r="U325" s="34"/>
      <c r="V325" s="34"/>
      <c r="W325" s="34"/>
      <c r="X325" s="42"/>
    </row>
    <row r="326" spans="1:25" s="664" customFormat="1">
      <c r="A326" s="697" t="s">
        <v>78</v>
      </c>
      <c r="B326" s="115"/>
      <c r="C326" s="3073"/>
      <c r="D326" s="116"/>
      <c r="E326" s="672"/>
      <c r="F326" s="116"/>
      <c r="G326" s="672"/>
      <c r="H326" s="117"/>
      <c r="I326" s="672"/>
      <c r="J326" s="117"/>
      <c r="K326" s="672"/>
      <c r="L326" s="117"/>
      <c r="M326" s="672"/>
      <c r="N326" s="117"/>
      <c r="O326" s="672"/>
      <c r="P326" s="118"/>
      <c r="Q326" s="672"/>
      <c r="R326" s="119"/>
      <c r="S326" s="672"/>
      <c r="T326" s="86"/>
      <c r="U326" s="45"/>
      <c r="V326" s="47"/>
      <c r="W326" s="45"/>
      <c r="X326" s="85"/>
    </row>
    <row r="327" spans="1:25" s="664" customFormat="1">
      <c r="A327" s="699" t="s">
        <v>79</v>
      </c>
      <c r="B327" s="702">
        <v>0</v>
      </c>
      <c r="C327" s="703"/>
      <c r="D327" s="704">
        <v>0</v>
      </c>
      <c r="E327" s="703"/>
      <c r="F327" s="704">
        <v>0</v>
      </c>
      <c r="G327" s="703"/>
      <c r="H327" s="705">
        <v>0</v>
      </c>
      <c r="I327" s="703"/>
      <c r="J327" s="705">
        <v>0</v>
      </c>
      <c r="K327" s="698"/>
      <c r="L327" s="705">
        <v>0</v>
      </c>
      <c r="M327" s="668"/>
      <c r="N327" s="1927">
        <v>0</v>
      </c>
      <c r="O327" s="668"/>
      <c r="P327" s="1927">
        <v>0</v>
      </c>
      <c r="Q327" s="668"/>
      <c r="R327" s="1927">
        <v>0</v>
      </c>
      <c r="S327" s="668"/>
      <c r="T327" s="3191" t="e">
        <f t="shared" ref="T327:T328" si="417">(((N327/B327)^(1/6)-1))</f>
        <v>#DIV/0!</v>
      </c>
      <c r="U327" s="77"/>
      <c r="V327" s="78" t="e">
        <f t="shared" ref="V327:V328" si="418">(P327-N327)/N327</f>
        <v>#DIV/0!</v>
      </c>
      <c r="W327" s="77"/>
      <c r="X327" s="3192" t="e">
        <f t="shared" ref="X327:X328" si="419">(R327-P327)/P327</f>
        <v>#DIV/0!</v>
      </c>
    </row>
    <row r="328" spans="1:25" s="664" customFormat="1" ht="13.8" thickBot="1">
      <c r="A328" s="706" t="s">
        <v>80</v>
      </c>
      <c r="B328" s="707">
        <v>0</v>
      </c>
      <c r="C328" s="1929"/>
      <c r="D328" s="709">
        <v>0</v>
      </c>
      <c r="E328" s="708"/>
      <c r="F328" s="709">
        <v>0</v>
      </c>
      <c r="G328" s="708"/>
      <c r="H328" s="710">
        <v>0</v>
      </c>
      <c r="I328" s="708"/>
      <c r="J328" s="710">
        <v>0</v>
      </c>
      <c r="K328" s="711"/>
      <c r="L328" s="710">
        <v>0</v>
      </c>
      <c r="M328" s="97"/>
      <c r="N328" s="1931">
        <v>0</v>
      </c>
      <c r="O328" s="97"/>
      <c r="P328" s="1931">
        <v>0</v>
      </c>
      <c r="Q328" s="97"/>
      <c r="R328" s="1931">
        <v>0</v>
      </c>
      <c r="S328" s="97"/>
      <c r="T328" s="3191" t="e">
        <f t="shared" si="417"/>
        <v>#DIV/0!</v>
      </c>
      <c r="U328" s="77"/>
      <c r="V328" s="78" t="e">
        <f t="shared" si="418"/>
        <v>#DIV/0!</v>
      </c>
      <c r="W328" s="77"/>
      <c r="X328" s="3192" t="e">
        <f t="shared" si="419"/>
        <v>#DIV/0!</v>
      </c>
      <c r="Y328" s="3259"/>
    </row>
    <row r="329" spans="1:25" s="751" customFormat="1" ht="13.8" thickBot="1">
      <c r="A329" s="111"/>
      <c r="B329" s="112"/>
      <c r="C329" s="112"/>
      <c r="D329" s="112"/>
      <c r="E329" s="112"/>
      <c r="F329" s="113"/>
      <c r="G329" s="112"/>
      <c r="H329" s="112"/>
      <c r="I329" s="112"/>
      <c r="J329" s="112"/>
      <c r="K329" s="112"/>
      <c r="L329" s="112"/>
      <c r="M329" s="112"/>
      <c r="N329" s="112"/>
      <c r="O329" s="112"/>
      <c r="P329" s="112"/>
      <c r="Q329" s="112"/>
      <c r="R329" s="112"/>
      <c r="S329" s="112"/>
      <c r="T329" s="112"/>
      <c r="U329" s="112"/>
      <c r="V329" s="112"/>
      <c r="W329" s="112"/>
      <c r="X329" s="112"/>
    </row>
    <row r="330" spans="1:25" s="752" customFormat="1">
      <c r="A330" s="114" t="s">
        <v>180</v>
      </c>
      <c r="B330" s="761" t="s">
        <v>13</v>
      </c>
      <c r="C330" s="3051"/>
      <c r="D330" s="763" t="s">
        <v>13</v>
      </c>
      <c r="E330" s="762"/>
      <c r="F330" s="764" t="s">
        <v>13</v>
      </c>
      <c r="G330" s="762"/>
      <c r="H330" s="764" t="s">
        <v>13</v>
      </c>
      <c r="I330" s="762"/>
      <c r="J330" s="764" t="s">
        <v>13</v>
      </c>
      <c r="K330" s="762"/>
      <c r="L330" s="765" t="s">
        <v>14</v>
      </c>
      <c r="M330" s="762"/>
      <c r="N330" s="765" t="s">
        <v>15</v>
      </c>
      <c r="O330" s="762"/>
      <c r="P330" s="766" t="s">
        <v>16</v>
      </c>
      <c r="Q330" s="762"/>
      <c r="R330" s="767" t="s">
        <v>16</v>
      </c>
      <c r="S330" s="762"/>
      <c r="T330" s="768" t="s">
        <v>62</v>
      </c>
      <c r="U330" s="769"/>
      <c r="V330" s="770" t="s">
        <v>75</v>
      </c>
      <c r="W330" s="769"/>
      <c r="X330" s="771" t="s">
        <v>75</v>
      </c>
    </row>
    <row r="331" spans="1:25" s="752" customFormat="1" ht="13.8" thickBot="1">
      <c r="A331" s="772"/>
      <c r="B331" s="773" t="s">
        <v>3</v>
      </c>
      <c r="C331" s="3053"/>
      <c r="D331" s="775" t="s">
        <v>4</v>
      </c>
      <c r="E331" s="774"/>
      <c r="F331" s="776" t="s">
        <v>5</v>
      </c>
      <c r="G331" s="774"/>
      <c r="H331" s="777" t="s">
        <v>6</v>
      </c>
      <c r="I331" s="774"/>
      <c r="J331" s="777" t="s">
        <v>7</v>
      </c>
      <c r="K331" s="774"/>
      <c r="L331" s="777" t="s">
        <v>8</v>
      </c>
      <c r="M331" s="774"/>
      <c r="N331" s="777" t="s">
        <v>9</v>
      </c>
      <c r="O331" s="774"/>
      <c r="P331" s="778" t="s">
        <v>10</v>
      </c>
      <c r="Q331" s="774"/>
      <c r="R331" s="779" t="s">
        <v>11</v>
      </c>
      <c r="S331" s="774"/>
      <c r="T331" s="780" t="s">
        <v>63</v>
      </c>
      <c r="U331" s="781"/>
      <c r="V331" s="782" t="s">
        <v>76</v>
      </c>
      <c r="W331" s="781"/>
      <c r="X331" s="783" t="s">
        <v>77</v>
      </c>
    </row>
    <row r="332" spans="1:25" s="751" customFormat="1">
      <c r="A332" s="784" t="s">
        <v>81</v>
      </c>
      <c r="B332" s="115"/>
      <c r="C332" s="3073"/>
      <c r="D332" s="116"/>
      <c r="E332" s="759"/>
      <c r="F332" s="116"/>
      <c r="G332" s="759"/>
      <c r="H332" s="117"/>
      <c r="I332" s="759"/>
      <c r="J332" s="117"/>
      <c r="K332" s="759"/>
      <c r="L332" s="117"/>
      <c r="M332" s="759"/>
      <c r="N332" s="117"/>
      <c r="O332" s="759"/>
      <c r="P332" s="118"/>
      <c r="Q332" s="759"/>
      <c r="R332" s="119"/>
      <c r="S332" s="759"/>
      <c r="T332" s="120"/>
      <c r="U332" s="759"/>
      <c r="V332" s="117"/>
      <c r="W332" s="759"/>
      <c r="X332" s="121"/>
    </row>
    <row r="333" spans="1:25" s="751" customFormat="1">
      <c r="A333" s="753" t="s">
        <v>19</v>
      </c>
      <c r="B333" s="754">
        <f>SUM(B334:B336)</f>
        <v>27049</v>
      </c>
      <c r="C333" s="3065"/>
      <c r="D333" s="756">
        <f>SUM(D334:D336)</f>
        <v>26872</v>
      </c>
      <c r="E333" s="755"/>
      <c r="F333" s="756">
        <f>SUM(F334:F336)</f>
        <v>27066</v>
      </c>
      <c r="G333" s="755"/>
      <c r="H333" s="756">
        <f>SUM(H334:H336)</f>
        <v>27597</v>
      </c>
      <c r="I333" s="755"/>
      <c r="J333" s="756">
        <f>SUM(J334:J336)</f>
        <v>27428</v>
      </c>
      <c r="K333" s="755"/>
      <c r="L333" s="756">
        <f>SUM(L334:L336)</f>
        <v>26777</v>
      </c>
      <c r="M333" s="755"/>
      <c r="N333" s="756">
        <f>SUM(N334:N336)</f>
        <v>26776</v>
      </c>
      <c r="O333" s="755"/>
      <c r="P333" s="756">
        <f>SUM(P334:P336)</f>
        <v>26776</v>
      </c>
      <c r="Q333" s="755"/>
      <c r="R333" s="122">
        <f>SUM(R334:R336)</f>
        <v>26776</v>
      </c>
      <c r="S333" s="755"/>
      <c r="T333" s="3188">
        <f>(((N333/B333)^(1/6)-1))</f>
        <v>-1.6892502951191268E-3</v>
      </c>
      <c r="U333" s="25"/>
      <c r="V333" s="3189">
        <f>(P333-N333)/N333</f>
        <v>0</v>
      </c>
      <c r="W333" s="25"/>
      <c r="X333" s="3190">
        <f>(R333-P333)/P333</f>
        <v>0</v>
      </c>
    </row>
    <row r="334" spans="1:25" s="751" customFormat="1">
      <c r="A334" s="753" t="s">
        <v>20</v>
      </c>
      <c r="B334" s="801">
        <v>26075</v>
      </c>
      <c r="C334" s="1902"/>
      <c r="D334" s="803">
        <v>25790</v>
      </c>
      <c r="E334" s="802"/>
      <c r="F334" s="803">
        <v>25863</v>
      </c>
      <c r="G334" s="802"/>
      <c r="H334" s="803">
        <v>26304</v>
      </c>
      <c r="I334" s="802"/>
      <c r="J334" s="803">
        <v>26168</v>
      </c>
      <c r="K334" s="804"/>
      <c r="L334" s="803">
        <v>25476</v>
      </c>
      <c r="M334" s="802"/>
      <c r="N334" s="803">
        <v>25475</v>
      </c>
      <c r="O334" s="802"/>
      <c r="P334" s="803">
        <v>25475</v>
      </c>
      <c r="Q334" s="802"/>
      <c r="R334" s="805">
        <v>25475</v>
      </c>
      <c r="S334" s="757"/>
      <c r="T334" s="3191">
        <f t="shared" ref="T334:T337" si="420">(((N334/B334)^(1/6)-1))</f>
        <v>-3.8723865286052206E-3</v>
      </c>
      <c r="U334" s="77"/>
      <c r="V334" s="78">
        <f t="shared" ref="V334:V345" si="421">(P334-N334)/N334</f>
        <v>0</v>
      </c>
      <c r="W334" s="77"/>
      <c r="X334" s="3192">
        <f t="shared" ref="X334:X345" si="422">(R334-P334)/P334</f>
        <v>0</v>
      </c>
    </row>
    <row r="335" spans="1:25" s="751" customFormat="1">
      <c r="A335" s="753" t="s">
        <v>17</v>
      </c>
      <c r="B335" s="801">
        <v>974</v>
      </c>
      <c r="C335" s="1902"/>
      <c r="D335" s="803">
        <v>1082</v>
      </c>
      <c r="E335" s="802"/>
      <c r="F335" s="803">
        <v>1203</v>
      </c>
      <c r="G335" s="802"/>
      <c r="H335" s="803">
        <v>1293</v>
      </c>
      <c r="I335" s="802"/>
      <c r="J335" s="803">
        <v>1260</v>
      </c>
      <c r="K335" s="804"/>
      <c r="L335" s="803">
        <v>1301</v>
      </c>
      <c r="M335" s="802"/>
      <c r="N335" s="803">
        <v>1301</v>
      </c>
      <c r="O335" s="802"/>
      <c r="P335" s="803">
        <v>1301</v>
      </c>
      <c r="Q335" s="802"/>
      <c r="R335" s="805">
        <v>1301</v>
      </c>
      <c r="S335" s="757"/>
      <c r="T335" s="3191">
        <f t="shared" si="420"/>
        <v>4.9428988544503394E-2</v>
      </c>
      <c r="U335" s="77"/>
      <c r="V335" s="78">
        <f t="shared" si="421"/>
        <v>0</v>
      </c>
      <c r="W335" s="77"/>
      <c r="X335" s="3192">
        <f t="shared" si="422"/>
        <v>0</v>
      </c>
    </row>
    <row r="336" spans="1:25" s="751" customFormat="1">
      <c r="A336" s="753" t="s">
        <v>154</v>
      </c>
      <c r="B336" s="801">
        <v>0</v>
      </c>
      <c r="C336" s="1902"/>
      <c r="D336" s="803">
        <v>0</v>
      </c>
      <c r="E336" s="802"/>
      <c r="F336" s="803">
        <v>0</v>
      </c>
      <c r="G336" s="802"/>
      <c r="H336" s="803">
        <v>0</v>
      </c>
      <c r="I336" s="802"/>
      <c r="J336" s="803">
        <v>0</v>
      </c>
      <c r="K336" s="804"/>
      <c r="L336" s="803">
        <v>0</v>
      </c>
      <c r="M336" s="802"/>
      <c r="N336" s="803">
        <v>0</v>
      </c>
      <c r="O336" s="802"/>
      <c r="P336" s="803">
        <v>0</v>
      </c>
      <c r="Q336" s="802"/>
      <c r="R336" s="805">
        <v>0</v>
      </c>
      <c r="S336" s="757"/>
      <c r="T336" s="3191"/>
      <c r="U336" s="77"/>
      <c r="V336" s="78"/>
      <c r="W336" s="77"/>
      <c r="X336" s="3192"/>
    </row>
    <row r="337" spans="1:24" s="751" customFormat="1">
      <c r="A337" s="753" t="s">
        <v>21</v>
      </c>
      <c r="B337" s="754">
        <f>SUM(B338:B340)</f>
        <v>8416</v>
      </c>
      <c r="C337" s="3065"/>
      <c r="D337" s="756">
        <f>SUM(D338:D340)</f>
        <v>8527</v>
      </c>
      <c r="E337" s="755"/>
      <c r="F337" s="756">
        <f>SUM(F338:F340)</f>
        <v>8743</v>
      </c>
      <c r="G337" s="755"/>
      <c r="H337" s="756">
        <f>SUM(H338:H340)</f>
        <v>8046</v>
      </c>
      <c r="I337" s="755"/>
      <c r="J337" s="756">
        <f>SUM(J338:J340)</f>
        <v>7125</v>
      </c>
      <c r="K337" s="755"/>
      <c r="L337" s="756">
        <f>SUM(L338:L340)</f>
        <v>6700</v>
      </c>
      <c r="M337" s="755"/>
      <c r="N337" s="756">
        <f>SUM(N338:N340)</f>
        <v>6756</v>
      </c>
      <c r="O337" s="755"/>
      <c r="P337" s="756">
        <f>SUM(P338:P340)</f>
        <v>6848</v>
      </c>
      <c r="Q337" s="755"/>
      <c r="R337" s="122">
        <f>SUM(R338:R340)</f>
        <v>6848</v>
      </c>
      <c r="S337" s="757"/>
      <c r="T337" s="3197">
        <f t="shared" si="420"/>
        <v>-3.595497224687938E-2</v>
      </c>
      <c r="U337" s="1480"/>
      <c r="V337" s="1479">
        <f t="shared" si="421"/>
        <v>1.3617525162818236E-2</v>
      </c>
      <c r="W337" s="1480"/>
      <c r="X337" s="3198">
        <f t="shared" si="422"/>
        <v>0</v>
      </c>
    </row>
    <row r="338" spans="1:24" s="751" customFormat="1">
      <c r="A338" s="753" t="s">
        <v>20</v>
      </c>
      <c r="B338" s="806">
        <v>6346</v>
      </c>
      <c r="C338" s="1902"/>
      <c r="D338" s="808">
        <v>6432</v>
      </c>
      <c r="E338" s="807"/>
      <c r="F338" s="808">
        <v>6410</v>
      </c>
      <c r="G338" s="807"/>
      <c r="H338" s="808">
        <v>6258</v>
      </c>
      <c r="I338" s="807"/>
      <c r="J338" s="808">
        <v>5857</v>
      </c>
      <c r="K338" s="809"/>
      <c r="L338" s="808">
        <v>5420</v>
      </c>
      <c r="M338" s="807"/>
      <c r="N338" s="808">
        <v>5475</v>
      </c>
      <c r="O338" s="807"/>
      <c r="P338" s="811">
        <v>5525</v>
      </c>
      <c r="Q338" s="807"/>
      <c r="R338" s="810">
        <v>5525</v>
      </c>
      <c r="S338" s="757"/>
      <c r="T338" s="3191">
        <f>(((N338/B338)^(1/6)-1))</f>
        <v>-2.4305157577066971E-2</v>
      </c>
      <c r="U338" s="77"/>
      <c r="V338" s="78">
        <f t="shared" si="421"/>
        <v>9.1324200913242004E-3</v>
      </c>
      <c r="W338" s="77"/>
      <c r="X338" s="3192">
        <f t="shared" si="422"/>
        <v>0</v>
      </c>
    </row>
    <row r="339" spans="1:24" s="751" customFormat="1">
      <c r="A339" s="753" t="s">
        <v>17</v>
      </c>
      <c r="B339" s="806">
        <v>2070</v>
      </c>
      <c r="C339" s="1902"/>
      <c r="D339" s="808">
        <v>2095</v>
      </c>
      <c r="E339" s="807"/>
      <c r="F339" s="808">
        <v>2333</v>
      </c>
      <c r="G339" s="807"/>
      <c r="H339" s="808">
        <v>1788</v>
      </c>
      <c r="I339" s="807"/>
      <c r="J339" s="808">
        <v>1268</v>
      </c>
      <c r="K339" s="809"/>
      <c r="L339" s="808">
        <v>1280</v>
      </c>
      <c r="M339" s="807"/>
      <c r="N339" s="808">
        <v>1281</v>
      </c>
      <c r="O339" s="807"/>
      <c r="P339" s="811">
        <v>1323</v>
      </c>
      <c r="Q339" s="807"/>
      <c r="R339" s="810">
        <v>1323</v>
      </c>
      <c r="S339" s="757"/>
      <c r="T339" s="3191">
        <f t="shared" ref="T339:T343" si="423">(((N339/B339)^(1/6)-1))</f>
        <v>-7.6869435106284856E-2</v>
      </c>
      <c r="U339" s="77"/>
      <c r="V339" s="78">
        <f t="shared" si="421"/>
        <v>3.2786885245901641E-2</v>
      </c>
      <c r="W339" s="77"/>
      <c r="X339" s="3192">
        <f t="shared" si="422"/>
        <v>0</v>
      </c>
    </row>
    <row r="340" spans="1:24" s="751" customFormat="1">
      <c r="A340" s="753" t="s">
        <v>154</v>
      </c>
      <c r="B340" s="806">
        <v>0</v>
      </c>
      <c r="C340" s="1902"/>
      <c r="D340" s="808">
        <v>0</v>
      </c>
      <c r="E340" s="807"/>
      <c r="F340" s="808">
        <v>0</v>
      </c>
      <c r="G340" s="807"/>
      <c r="H340" s="808">
        <v>0</v>
      </c>
      <c r="I340" s="807"/>
      <c r="J340" s="808">
        <v>0</v>
      </c>
      <c r="K340" s="809"/>
      <c r="L340" s="808">
        <v>0</v>
      </c>
      <c r="M340" s="807"/>
      <c r="N340" s="808">
        <v>0</v>
      </c>
      <c r="O340" s="807"/>
      <c r="P340" s="811">
        <v>0</v>
      </c>
      <c r="Q340" s="807"/>
      <c r="R340" s="810">
        <v>0</v>
      </c>
      <c r="S340" s="757"/>
      <c r="T340" s="3191"/>
      <c r="U340" s="77"/>
      <c r="V340" s="78"/>
      <c r="W340" s="77"/>
      <c r="X340" s="3192"/>
    </row>
    <row r="341" spans="1:24" s="751" customFormat="1">
      <c r="A341" s="785" t="s">
        <v>22</v>
      </c>
      <c r="B341" s="754">
        <f>SUM(B342:B344)</f>
        <v>1156</v>
      </c>
      <c r="C341" s="3065"/>
      <c r="D341" s="756">
        <f>SUM(D342:D344)</f>
        <v>1166</v>
      </c>
      <c r="E341" s="755"/>
      <c r="F341" s="756">
        <f>SUM(F342:F344)</f>
        <v>1220</v>
      </c>
      <c r="G341" s="755"/>
      <c r="H341" s="756">
        <f>SUM(H342:H344)</f>
        <v>1195</v>
      </c>
      <c r="I341" s="755"/>
      <c r="J341" s="756">
        <f>SUM(J342:J344)</f>
        <v>1125</v>
      </c>
      <c r="K341" s="755"/>
      <c r="L341" s="756">
        <f>SUM(L342:L344)</f>
        <v>1183</v>
      </c>
      <c r="M341" s="755"/>
      <c r="N341" s="756">
        <f>SUM(N342:N344)</f>
        <v>1183</v>
      </c>
      <c r="O341" s="755"/>
      <c r="P341" s="756">
        <f>SUM(P342:P344)</f>
        <v>1189</v>
      </c>
      <c r="Q341" s="755"/>
      <c r="R341" s="122">
        <f>SUM(R342:R344)</f>
        <v>1189</v>
      </c>
      <c r="S341" s="757"/>
      <c r="T341" s="3197">
        <f t="shared" si="423"/>
        <v>3.8553820627378332E-3</v>
      </c>
      <c r="U341" s="1480"/>
      <c r="V341" s="1479">
        <f t="shared" si="421"/>
        <v>5.0718512256973797E-3</v>
      </c>
      <c r="W341" s="1480"/>
      <c r="X341" s="3198">
        <f t="shared" si="422"/>
        <v>0</v>
      </c>
    </row>
    <row r="342" spans="1:24" s="751" customFormat="1">
      <c r="A342" s="753" t="s">
        <v>20</v>
      </c>
      <c r="B342" s="817">
        <v>927</v>
      </c>
      <c r="C342" s="1902"/>
      <c r="D342" s="818">
        <v>891</v>
      </c>
      <c r="E342" s="812"/>
      <c r="F342" s="818">
        <v>898</v>
      </c>
      <c r="G342" s="812"/>
      <c r="H342" s="818">
        <v>915</v>
      </c>
      <c r="I342" s="812"/>
      <c r="J342" s="818">
        <v>935</v>
      </c>
      <c r="K342" s="814"/>
      <c r="L342" s="818">
        <v>1012</v>
      </c>
      <c r="M342" s="812"/>
      <c r="N342" s="813">
        <v>1012</v>
      </c>
      <c r="O342" s="812"/>
      <c r="P342" s="816">
        <v>1015</v>
      </c>
      <c r="Q342" s="812"/>
      <c r="R342" s="815">
        <v>1015</v>
      </c>
      <c r="S342" s="757"/>
      <c r="T342" s="3191">
        <f t="shared" si="423"/>
        <v>1.4729134224908291E-2</v>
      </c>
      <c r="U342" s="77"/>
      <c r="V342" s="78">
        <f t="shared" si="421"/>
        <v>2.9644268774703555E-3</v>
      </c>
      <c r="W342" s="77"/>
      <c r="X342" s="3192">
        <f t="shared" si="422"/>
        <v>0</v>
      </c>
    </row>
    <row r="343" spans="1:24" s="751" customFormat="1">
      <c r="A343" s="753" t="s">
        <v>17</v>
      </c>
      <c r="B343" s="817">
        <v>229</v>
      </c>
      <c r="C343" s="1902"/>
      <c r="D343" s="818">
        <v>275</v>
      </c>
      <c r="E343" s="812"/>
      <c r="F343" s="818">
        <v>322</v>
      </c>
      <c r="G343" s="812"/>
      <c r="H343" s="818">
        <v>280</v>
      </c>
      <c r="I343" s="812"/>
      <c r="J343" s="818">
        <v>190</v>
      </c>
      <c r="K343" s="814"/>
      <c r="L343" s="818">
        <v>171</v>
      </c>
      <c r="M343" s="812"/>
      <c r="N343" s="813">
        <v>171</v>
      </c>
      <c r="O343" s="812"/>
      <c r="P343" s="816">
        <v>174</v>
      </c>
      <c r="Q343" s="812"/>
      <c r="R343" s="815">
        <v>174</v>
      </c>
      <c r="S343" s="757"/>
      <c r="T343" s="3191">
        <f t="shared" si="423"/>
        <v>-4.7510702097144364E-2</v>
      </c>
      <c r="U343" s="77"/>
      <c r="V343" s="78">
        <f t="shared" si="421"/>
        <v>1.7543859649122806E-2</v>
      </c>
      <c r="W343" s="77"/>
      <c r="X343" s="3192">
        <f t="shared" si="422"/>
        <v>0</v>
      </c>
    </row>
    <row r="344" spans="1:24" s="751" customFormat="1" ht="13.8" thickBot="1">
      <c r="A344" s="102" t="s">
        <v>154</v>
      </c>
      <c r="B344" s="819">
        <v>0</v>
      </c>
      <c r="C344" s="1909"/>
      <c r="D344" s="821">
        <v>0</v>
      </c>
      <c r="E344" s="820"/>
      <c r="F344" s="821">
        <v>0</v>
      </c>
      <c r="G344" s="820"/>
      <c r="H344" s="821">
        <v>0</v>
      </c>
      <c r="I344" s="820"/>
      <c r="J344" s="821">
        <v>0</v>
      </c>
      <c r="K344" s="822"/>
      <c r="L344" s="821">
        <v>0</v>
      </c>
      <c r="M344" s="820"/>
      <c r="N344" s="823">
        <v>0</v>
      </c>
      <c r="O344" s="820"/>
      <c r="P344" s="824">
        <v>0</v>
      </c>
      <c r="Q344" s="820"/>
      <c r="R344" s="825">
        <v>0</v>
      </c>
      <c r="S344" s="758"/>
      <c r="T344" s="3193"/>
      <c r="U344" s="3194"/>
      <c r="V344" s="3195"/>
      <c r="W344" s="3194"/>
      <c r="X344" s="3196"/>
    </row>
    <row r="345" spans="1:24" s="751" customFormat="1" ht="13.8" thickTop="1">
      <c r="A345" s="799" t="s">
        <v>23</v>
      </c>
      <c r="B345" s="123">
        <f>B333+B337+B341</f>
        <v>36621</v>
      </c>
      <c r="C345" s="124"/>
      <c r="D345" s="760">
        <f>D333+D337+D341</f>
        <v>36565</v>
      </c>
      <c r="E345" s="124"/>
      <c r="F345" s="760">
        <f>F333+F337+F341</f>
        <v>37029</v>
      </c>
      <c r="G345" s="124"/>
      <c r="H345" s="760">
        <f>H333+H337+H341</f>
        <v>36838</v>
      </c>
      <c r="I345" s="124"/>
      <c r="J345" s="760">
        <f>J333+J337+J341</f>
        <v>35678</v>
      </c>
      <c r="K345" s="124"/>
      <c r="L345" s="760">
        <f>L333+L337+L341</f>
        <v>34660</v>
      </c>
      <c r="M345" s="124"/>
      <c r="N345" s="760">
        <f>N333+N337+N341</f>
        <v>34715</v>
      </c>
      <c r="O345" s="124"/>
      <c r="P345" s="756">
        <f>P333+P337+P341</f>
        <v>34813</v>
      </c>
      <c r="Q345" s="124"/>
      <c r="R345" s="122">
        <f>R333+R337+R341</f>
        <v>34813</v>
      </c>
      <c r="S345" s="124"/>
      <c r="T345" s="3197">
        <f t="shared" ref="T345" si="424">(((N345/B345)^(1/6)-1))</f>
        <v>-8.8687677555306932E-3</v>
      </c>
      <c r="U345" s="1480"/>
      <c r="V345" s="1479">
        <f t="shared" si="421"/>
        <v>2.8229871813337175E-3</v>
      </c>
      <c r="W345" s="1480"/>
      <c r="X345" s="3198">
        <f t="shared" si="422"/>
        <v>0</v>
      </c>
    </row>
    <row r="346" spans="1:24" s="751" customFormat="1" ht="8.25" customHeight="1" thickBot="1">
      <c r="A346" s="786"/>
      <c r="B346" s="126"/>
      <c r="C346" s="3068"/>
      <c r="D346" s="757"/>
      <c r="E346" s="757"/>
      <c r="F346" s="757"/>
      <c r="G346" s="757"/>
      <c r="H346" s="757"/>
      <c r="I346" s="757"/>
      <c r="J346" s="757"/>
      <c r="K346" s="757"/>
      <c r="L346" s="757"/>
      <c r="M346" s="757"/>
      <c r="N346" s="757"/>
      <c r="O346" s="757"/>
      <c r="P346" s="755"/>
      <c r="Q346" s="757"/>
      <c r="R346" s="127"/>
      <c r="S346" s="757"/>
      <c r="T346" s="84"/>
      <c r="U346" s="34"/>
      <c r="V346" s="34"/>
      <c r="W346" s="34"/>
      <c r="X346" s="42"/>
    </row>
    <row r="347" spans="1:24" s="751" customFormat="1">
      <c r="A347" s="784" t="s">
        <v>24</v>
      </c>
      <c r="B347" s="115"/>
      <c r="C347" s="3073"/>
      <c r="D347" s="116"/>
      <c r="E347" s="759"/>
      <c r="F347" s="116"/>
      <c r="G347" s="759"/>
      <c r="H347" s="117"/>
      <c r="I347" s="759"/>
      <c r="J347" s="117"/>
      <c r="K347" s="759"/>
      <c r="L347" s="117"/>
      <c r="M347" s="759"/>
      <c r="N347" s="117"/>
      <c r="O347" s="759"/>
      <c r="P347" s="118"/>
      <c r="Q347" s="759"/>
      <c r="R347" s="119"/>
      <c r="S347" s="759"/>
      <c r="T347" s="86"/>
      <c r="U347" s="45"/>
      <c r="V347" s="47"/>
      <c r="W347" s="45"/>
      <c r="X347" s="85"/>
    </row>
    <row r="348" spans="1:24" s="751" customFormat="1">
      <c r="A348" s="753" t="s">
        <v>19</v>
      </c>
      <c r="B348" s="754">
        <f>SUM(B349:B351)</f>
        <v>15977.45</v>
      </c>
      <c r="C348" s="3065"/>
      <c r="D348" s="756">
        <f>SUM(D349:D351)</f>
        <v>16256.9</v>
      </c>
      <c r="E348" s="755"/>
      <c r="F348" s="756">
        <f>SUM(F349:F351)</f>
        <v>16852.82</v>
      </c>
      <c r="G348" s="755"/>
      <c r="H348" s="756">
        <f>SUM(H349:H351)</f>
        <v>17597.32</v>
      </c>
      <c r="I348" s="755"/>
      <c r="J348" s="756">
        <f>SUM(J349:J351)</f>
        <v>17818.61</v>
      </c>
      <c r="K348" s="755"/>
      <c r="L348" s="756">
        <f>SUM(L349:L351)</f>
        <v>17608.280000000002</v>
      </c>
      <c r="M348" s="755"/>
      <c r="N348" s="756">
        <f>SUM(N349:N351)</f>
        <v>17608</v>
      </c>
      <c r="O348" s="755"/>
      <c r="P348" s="756">
        <f>SUM(P349:P351)</f>
        <v>17608</v>
      </c>
      <c r="Q348" s="755"/>
      <c r="R348" s="122">
        <f>SUM(R349:R351)</f>
        <v>17608</v>
      </c>
      <c r="S348" s="755"/>
      <c r="T348" s="3188">
        <f>(((N348/B348)^(1/6)-1))</f>
        <v>1.6327695249871876E-2</v>
      </c>
      <c r="U348" s="25"/>
      <c r="V348" s="3189">
        <f>(P348-N348)/N348</f>
        <v>0</v>
      </c>
      <c r="W348" s="25"/>
      <c r="X348" s="3190">
        <f>(R348-P348)/P348</f>
        <v>0</v>
      </c>
    </row>
    <row r="349" spans="1:24" s="751" customFormat="1">
      <c r="A349" s="753" t="s">
        <v>20</v>
      </c>
      <c r="B349" s="826">
        <v>15502.33</v>
      </c>
      <c r="C349" s="1916"/>
      <c r="D349" s="828">
        <v>15671.08</v>
      </c>
      <c r="E349" s="827"/>
      <c r="F349" s="828">
        <v>16096.42</v>
      </c>
      <c r="G349" s="827"/>
      <c r="H349" s="828">
        <v>16781.12</v>
      </c>
      <c r="I349" s="827"/>
      <c r="J349" s="828">
        <v>16990.18</v>
      </c>
      <c r="K349" s="827"/>
      <c r="L349" s="828">
        <v>16732.45</v>
      </c>
      <c r="M349" s="827"/>
      <c r="N349" s="828">
        <v>16732</v>
      </c>
      <c r="O349" s="827"/>
      <c r="P349" s="829">
        <v>16732</v>
      </c>
      <c r="Q349" s="827"/>
      <c r="R349" s="830">
        <v>16732</v>
      </c>
      <c r="S349" s="757"/>
      <c r="T349" s="3191">
        <f t="shared" ref="T349:T352" si="425">(((N349/B349)^(1/6)-1))</f>
        <v>1.2803390172174245E-2</v>
      </c>
      <c r="U349" s="77"/>
      <c r="V349" s="78">
        <f t="shared" ref="V349:V358" si="426">(P349-N349)/N349</f>
        <v>0</v>
      </c>
      <c r="W349" s="77"/>
      <c r="X349" s="3192">
        <f t="shared" ref="X349:X358" si="427">(R349-P349)/P349</f>
        <v>0</v>
      </c>
    </row>
    <row r="350" spans="1:24" s="751" customFormat="1">
      <c r="A350" s="753" t="s">
        <v>17</v>
      </c>
      <c r="B350" s="826">
        <v>475.12</v>
      </c>
      <c r="C350" s="1916"/>
      <c r="D350" s="828">
        <v>585.82000000000005</v>
      </c>
      <c r="E350" s="827"/>
      <c r="F350" s="828">
        <v>756.4</v>
      </c>
      <c r="G350" s="827"/>
      <c r="H350" s="828">
        <v>816.2</v>
      </c>
      <c r="I350" s="827"/>
      <c r="J350" s="828">
        <v>828.43</v>
      </c>
      <c r="K350" s="827"/>
      <c r="L350" s="828">
        <v>875.83</v>
      </c>
      <c r="M350" s="827"/>
      <c r="N350" s="828">
        <v>876</v>
      </c>
      <c r="O350" s="827"/>
      <c r="P350" s="829">
        <v>876</v>
      </c>
      <c r="Q350" s="827"/>
      <c r="R350" s="830">
        <v>876</v>
      </c>
      <c r="S350" s="757"/>
      <c r="T350" s="3191">
        <f t="shared" si="425"/>
        <v>0.10734631727866062</v>
      </c>
      <c r="U350" s="77"/>
      <c r="V350" s="78">
        <f t="shared" si="426"/>
        <v>0</v>
      </c>
      <c r="W350" s="77"/>
      <c r="X350" s="3192">
        <f t="shared" si="427"/>
        <v>0</v>
      </c>
    </row>
    <row r="351" spans="1:24" s="751" customFormat="1">
      <c r="A351" s="753" t="s">
        <v>154</v>
      </c>
      <c r="B351" s="826">
        <v>0</v>
      </c>
      <c r="C351" s="1916"/>
      <c r="D351" s="828">
        <v>0</v>
      </c>
      <c r="E351" s="827"/>
      <c r="F351" s="828">
        <v>0</v>
      </c>
      <c r="G351" s="827"/>
      <c r="H351" s="828">
        <v>0</v>
      </c>
      <c r="I351" s="827"/>
      <c r="J351" s="828">
        <v>0</v>
      </c>
      <c r="K351" s="827"/>
      <c r="L351" s="828">
        <v>0</v>
      </c>
      <c r="M351" s="827"/>
      <c r="N351" s="828">
        <v>0</v>
      </c>
      <c r="O351" s="827"/>
      <c r="P351" s="829">
        <v>0</v>
      </c>
      <c r="Q351" s="827"/>
      <c r="R351" s="830">
        <v>0</v>
      </c>
      <c r="S351" s="757"/>
      <c r="T351" s="3191"/>
      <c r="U351" s="77"/>
      <c r="V351" s="78"/>
      <c r="W351" s="77"/>
      <c r="X351" s="3192"/>
    </row>
    <row r="352" spans="1:24" s="751" customFormat="1">
      <c r="A352" s="753" t="s">
        <v>21</v>
      </c>
      <c r="B352" s="754">
        <f>SUM(B353:B355)</f>
        <v>3813.13</v>
      </c>
      <c r="C352" s="3065"/>
      <c r="D352" s="756">
        <f>SUM(D353:D355)</f>
        <v>3975.7000000000003</v>
      </c>
      <c r="E352" s="755"/>
      <c r="F352" s="756">
        <f>SUM(F353:F355)</f>
        <v>4160.68</v>
      </c>
      <c r="G352" s="755"/>
      <c r="H352" s="756">
        <f>SUM(H353:H355)</f>
        <v>3645.2599999999998</v>
      </c>
      <c r="I352" s="755"/>
      <c r="J352" s="756">
        <f>SUM(J353:J355)</f>
        <v>3541.89</v>
      </c>
      <c r="K352" s="755"/>
      <c r="L352" s="756">
        <f>SUM(L353:L355)</f>
        <v>3405.1499999999996</v>
      </c>
      <c r="M352" s="755"/>
      <c r="N352" s="756">
        <f>SUM(N353:N355)</f>
        <v>3433</v>
      </c>
      <c r="O352" s="755"/>
      <c r="P352" s="756">
        <f>SUM(P353:P355)</f>
        <v>3480</v>
      </c>
      <c r="Q352" s="755"/>
      <c r="R352" s="122">
        <f>SUM(R353:R355)</f>
        <v>3480</v>
      </c>
      <c r="S352" s="757"/>
      <c r="T352" s="3197">
        <f t="shared" si="425"/>
        <v>-1.735036176108351E-2</v>
      </c>
      <c r="U352" s="1480"/>
      <c r="V352" s="1479">
        <f t="shared" si="426"/>
        <v>1.3690649577628895E-2</v>
      </c>
      <c r="W352" s="1480"/>
      <c r="X352" s="3198">
        <f t="shared" si="427"/>
        <v>0</v>
      </c>
    </row>
    <row r="353" spans="1:25" s="751" customFormat="1">
      <c r="A353" s="753" t="s">
        <v>20</v>
      </c>
      <c r="B353" s="835">
        <v>2842.09</v>
      </c>
      <c r="C353" s="1916"/>
      <c r="D353" s="832">
        <v>2969.05</v>
      </c>
      <c r="E353" s="831"/>
      <c r="F353" s="832">
        <v>3008.3</v>
      </c>
      <c r="G353" s="831"/>
      <c r="H353" s="832">
        <v>2953.74</v>
      </c>
      <c r="I353" s="831"/>
      <c r="J353" s="832">
        <v>2907.64</v>
      </c>
      <c r="K353" s="831"/>
      <c r="L353" s="832">
        <v>2737.43</v>
      </c>
      <c r="M353" s="831"/>
      <c r="N353" s="832">
        <v>2765</v>
      </c>
      <c r="O353" s="831"/>
      <c r="P353" s="833">
        <v>2790</v>
      </c>
      <c r="Q353" s="831"/>
      <c r="R353" s="834">
        <v>2790</v>
      </c>
      <c r="S353" s="757"/>
      <c r="T353" s="3191">
        <f>(((N353/B353)^(1/6)-1))</f>
        <v>-4.5726902776829226E-3</v>
      </c>
      <c r="U353" s="77"/>
      <c r="V353" s="78">
        <f t="shared" si="426"/>
        <v>9.0415913200723331E-3</v>
      </c>
      <c r="W353" s="77"/>
      <c r="X353" s="3192">
        <f t="shared" si="427"/>
        <v>0</v>
      </c>
    </row>
    <row r="354" spans="1:25" s="751" customFormat="1">
      <c r="A354" s="753" t="s">
        <v>17</v>
      </c>
      <c r="B354" s="835">
        <v>971.04</v>
      </c>
      <c r="C354" s="1916"/>
      <c r="D354" s="832">
        <v>1006.65</v>
      </c>
      <c r="E354" s="831"/>
      <c r="F354" s="832">
        <v>1152.3800000000001</v>
      </c>
      <c r="G354" s="831"/>
      <c r="H354" s="832">
        <v>691.52</v>
      </c>
      <c r="I354" s="831"/>
      <c r="J354" s="832">
        <v>634.25</v>
      </c>
      <c r="K354" s="831"/>
      <c r="L354" s="832">
        <v>667.72</v>
      </c>
      <c r="M354" s="831"/>
      <c r="N354" s="832">
        <v>668</v>
      </c>
      <c r="O354" s="831"/>
      <c r="P354" s="833">
        <v>690</v>
      </c>
      <c r="Q354" s="831"/>
      <c r="R354" s="834">
        <v>690</v>
      </c>
      <c r="S354" s="757"/>
      <c r="T354" s="3191">
        <f t="shared" ref="T354:T358" si="428">(((N354/B354)^(1/6)-1))</f>
        <v>-6.0442802717062039E-2</v>
      </c>
      <c r="U354" s="77"/>
      <c r="V354" s="78">
        <f t="shared" si="426"/>
        <v>3.2934131736526949E-2</v>
      </c>
      <c r="W354" s="77"/>
      <c r="X354" s="3192">
        <f t="shared" si="427"/>
        <v>0</v>
      </c>
    </row>
    <row r="355" spans="1:25" s="751" customFormat="1">
      <c r="A355" s="753" t="s">
        <v>154</v>
      </c>
      <c r="B355" s="835">
        <v>0</v>
      </c>
      <c r="C355" s="1916"/>
      <c r="D355" s="832">
        <v>0</v>
      </c>
      <c r="E355" s="831"/>
      <c r="F355" s="832">
        <v>0</v>
      </c>
      <c r="G355" s="831"/>
      <c r="H355" s="832">
        <v>0</v>
      </c>
      <c r="I355" s="831"/>
      <c r="J355" s="832">
        <v>0</v>
      </c>
      <c r="K355" s="831"/>
      <c r="L355" s="832">
        <v>0</v>
      </c>
      <c r="M355" s="831"/>
      <c r="N355" s="832">
        <v>0</v>
      </c>
      <c r="O355" s="831"/>
      <c r="P355" s="833">
        <v>0</v>
      </c>
      <c r="Q355" s="831"/>
      <c r="R355" s="834">
        <v>0</v>
      </c>
      <c r="S355" s="757"/>
      <c r="T355" s="3191"/>
      <c r="U355" s="77"/>
      <c r="V355" s="78"/>
      <c r="W355" s="77"/>
      <c r="X355" s="3192"/>
    </row>
    <row r="356" spans="1:25" s="751" customFormat="1">
      <c r="A356" s="785" t="s">
        <v>22</v>
      </c>
      <c r="B356" s="754">
        <f>SUM(B357:B359)</f>
        <v>1228.3399999999999</v>
      </c>
      <c r="C356" s="3065"/>
      <c r="D356" s="756">
        <f>SUM(D357:D359)</f>
        <v>1239.3700000000001</v>
      </c>
      <c r="E356" s="755"/>
      <c r="F356" s="756">
        <f>SUM(F357:F359)</f>
        <v>1266.3799999999999</v>
      </c>
      <c r="G356" s="755"/>
      <c r="H356" s="756">
        <f>SUM(H357:H359)</f>
        <v>1242.95</v>
      </c>
      <c r="I356" s="755"/>
      <c r="J356" s="756">
        <f>SUM(J357:J359)</f>
        <v>1201.73</v>
      </c>
      <c r="K356" s="755"/>
      <c r="L356" s="756">
        <f>SUM(L357:L359)</f>
        <v>1298.23</v>
      </c>
      <c r="M356" s="755"/>
      <c r="N356" s="756">
        <f>SUM(N357:N359)</f>
        <v>1298</v>
      </c>
      <c r="O356" s="755"/>
      <c r="P356" s="756">
        <f>SUM(P357:P359)</f>
        <v>1304</v>
      </c>
      <c r="Q356" s="755"/>
      <c r="R356" s="122">
        <f>SUM(R357:R359)</f>
        <v>1304</v>
      </c>
      <c r="S356" s="757"/>
      <c r="T356" s="3197">
        <f t="shared" si="428"/>
        <v>9.2358822740066238E-3</v>
      </c>
      <c r="U356" s="1480"/>
      <c r="V356" s="1479">
        <f t="shared" si="426"/>
        <v>4.6224961479198771E-3</v>
      </c>
      <c r="W356" s="1480"/>
      <c r="X356" s="3198">
        <f t="shared" si="427"/>
        <v>0</v>
      </c>
    </row>
    <row r="357" spans="1:25" s="751" customFormat="1">
      <c r="A357" s="753" t="s">
        <v>20</v>
      </c>
      <c r="B357" s="840">
        <v>1002.67</v>
      </c>
      <c r="C357" s="1916"/>
      <c r="D357" s="841">
        <v>993.33</v>
      </c>
      <c r="E357" s="836"/>
      <c r="F357" s="841">
        <v>995.42</v>
      </c>
      <c r="G357" s="836"/>
      <c r="H357" s="841">
        <v>1019.6</v>
      </c>
      <c r="I357" s="836"/>
      <c r="J357" s="841">
        <v>1024.5</v>
      </c>
      <c r="K357" s="836"/>
      <c r="L357" s="837">
        <v>1126.1300000000001</v>
      </c>
      <c r="M357" s="836"/>
      <c r="N357" s="837">
        <v>1126</v>
      </c>
      <c r="O357" s="836"/>
      <c r="P357" s="838">
        <v>1129</v>
      </c>
      <c r="Q357" s="836"/>
      <c r="R357" s="839">
        <v>1129</v>
      </c>
      <c r="S357" s="757"/>
      <c r="T357" s="3191">
        <f t="shared" si="428"/>
        <v>1.9522296987690257E-2</v>
      </c>
      <c r="U357" s="77"/>
      <c r="V357" s="78">
        <f t="shared" si="426"/>
        <v>2.6642984014209592E-3</v>
      </c>
      <c r="W357" s="77"/>
      <c r="X357" s="3192">
        <f t="shared" si="427"/>
        <v>0</v>
      </c>
    </row>
    <row r="358" spans="1:25" s="751" customFormat="1">
      <c r="A358" s="753" t="s">
        <v>17</v>
      </c>
      <c r="B358" s="840">
        <v>225.67</v>
      </c>
      <c r="C358" s="1916"/>
      <c r="D358" s="841">
        <v>246.04</v>
      </c>
      <c r="E358" s="836"/>
      <c r="F358" s="841">
        <v>270.95999999999998</v>
      </c>
      <c r="G358" s="836"/>
      <c r="H358" s="841">
        <v>223.35</v>
      </c>
      <c r="I358" s="836"/>
      <c r="J358" s="841">
        <v>177.23</v>
      </c>
      <c r="K358" s="836"/>
      <c r="L358" s="837">
        <v>172.1</v>
      </c>
      <c r="M358" s="836"/>
      <c r="N358" s="837">
        <v>172</v>
      </c>
      <c r="O358" s="836"/>
      <c r="P358" s="838">
        <v>175</v>
      </c>
      <c r="Q358" s="836"/>
      <c r="R358" s="839">
        <v>175</v>
      </c>
      <c r="S358" s="757"/>
      <c r="T358" s="3191">
        <f t="shared" si="428"/>
        <v>-4.4254116077716454E-2</v>
      </c>
      <c r="U358" s="77"/>
      <c r="V358" s="78">
        <f t="shared" si="426"/>
        <v>1.7441860465116279E-2</v>
      </c>
      <c r="W358" s="77"/>
      <c r="X358" s="3192">
        <f t="shared" si="427"/>
        <v>0</v>
      </c>
    </row>
    <row r="359" spans="1:25" s="751" customFormat="1" ht="13.8" thickBot="1">
      <c r="A359" s="102" t="s">
        <v>154</v>
      </c>
      <c r="B359" s="842">
        <v>0</v>
      </c>
      <c r="C359" s="1921"/>
      <c r="D359" s="844">
        <v>0</v>
      </c>
      <c r="E359" s="843"/>
      <c r="F359" s="844">
        <v>0</v>
      </c>
      <c r="G359" s="843"/>
      <c r="H359" s="844">
        <v>0</v>
      </c>
      <c r="I359" s="843"/>
      <c r="J359" s="844">
        <v>0</v>
      </c>
      <c r="K359" s="843"/>
      <c r="L359" s="845">
        <v>0</v>
      </c>
      <c r="M359" s="843"/>
      <c r="N359" s="845">
        <v>0</v>
      </c>
      <c r="O359" s="843"/>
      <c r="P359" s="846">
        <v>0</v>
      </c>
      <c r="Q359" s="843"/>
      <c r="R359" s="847">
        <v>0</v>
      </c>
      <c r="S359" s="758"/>
      <c r="T359" s="3193"/>
      <c r="U359" s="3194"/>
      <c r="V359" s="3195"/>
      <c r="W359" s="3194"/>
      <c r="X359" s="3196"/>
    </row>
    <row r="360" spans="1:25" s="751" customFormat="1" ht="13.8" thickTop="1">
      <c r="A360" s="799" t="s">
        <v>25</v>
      </c>
      <c r="B360" s="123">
        <f>B348+B352+B356</f>
        <v>21018.920000000002</v>
      </c>
      <c r="C360" s="124"/>
      <c r="D360" s="760">
        <f>D348+D352+D356</f>
        <v>21471.969999999998</v>
      </c>
      <c r="E360" s="124"/>
      <c r="F360" s="760">
        <f>F348+F352+F356</f>
        <v>22279.88</v>
      </c>
      <c r="G360" s="124"/>
      <c r="H360" s="760">
        <f>H348+H352+H356</f>
        <v>22485.53</v>
      </c>
      <c r="I360" s="124"/>
      <c r="J360" s="760">
        <f>J348+J352+J356</f>
        <v>22562.23</v>
      </c>
      <c r="K360" s="124"/>
      <c r="L360" s="760">
        <f>L348+L352+L356</f>
        <v>22311.66</v>
      </c>
      <c r="M360" s="124"/>
      <c r="N360" s="760">
        <f>N348+N352+N356</f>
        <v>22339</v>
      </c>
      <c r="O360" s="124"/>
      <c r="P360" s="756">
        <f>P348+P352+P356</f>
        <v>22392</v>
      </c>
      <c r="Q360" s="124"/>
      <c r="R360" s="122">
        <f>R348+R352+R356</f>
        <v>22392</v>
      </c>
      <c r="S360" s="124"/>
      <c r="T360" s="3197">
        <f t="shared" ref="T360" si="429">(((N360/B360)^(1/6)-1))</f>
        <v>1.0203545653410639E-2</v>
      </c>
      <c r="U360" s="1480"/>
      <c r="V360" s="1479">
        <f t="shared" ref="V360" si="430">(P360-N360)/N360</f>
        <v>2.3725323425399527E-3</v>
      </c>
      <c r="W360" s="1480"/>
      <c r="X360" s="3198">
        <f t="shared" ref="X360" si="431">(R360-P360)/P360</f>
        <v>0</v>
      </c>
    </row>
    <row r="361" spans="1:25" s="751" customFormat="1" ht="8.25" customHeight="1" thickBot="1">
      <c r="A361" s="786"/>
      <c r="B361" s="126"/>
      <c r="C361" s="3068"/>
      <c r="D361" s="757"/>
      <c r="E361" s="757"/>
      <c r="F361" s="757"/>
      <c r="G361" s="757"/>
      <c r="H361" s="757"/>
      <c r="I361" s="757"/>
      <c r="J361" s="757"/>
      <c r="K361" s="757"/>
      <c r="L361" s="757"/>
      <c r="M361" s="757"/>
      <c r="N361" s="757"/>
      <c r="O361" s="757"/>
      <c r="P361" s="755"/>
      <c r="Q361" s="757"/>
      <c r="R361" s="127"/>
      <c r="S361" s="757"/>
      <c r="T361" s="84"/>
      <c r="U361" s="34"/>
      <c r="V361" s="34"/>
      <c r="W361" s="34"/>
      <c r="X361" s="42"/>
    </row>
    <row r="362" spans="1:25" s="751" customFormat="1">
      <c r="A362" s="784" t="s">
        <v>78</v>
      </c>
      <c r="B362" s="115"/>
      <c r="C362" s="3073"/>
      <c r="D362" s="116"/>
      <c r="E362" s="759"/>
      <c r="F362" s="116"/>
      <c r="G362" s="759"/>
      <c r="H362" s="117"/>
      <c r="I362" s="759"/>
      <c r="J362" s="117"/>
      <c r="K362" s="759"/>
      <c r="L362" s="117"/>
      <c r="M362" s="759"/>
      <c r="N362" s="117"/>
      <c r="O362" s="759"/>
      <c r="P362" s="118"/>
      <c r="Q362" s="759"/>
      <c r="R362" s="119"/>
      <c r="S362" s="759"/>
      <c r="T362" s="86"/>
      <c r="U362" s="45"/>
      <c r="V362" s="47"/>
      <c r="W362" s="45"/>
      <c r="X362" s="85"/>
    </row>
    <row r="363" spans="1:25" s="751" customFormat="1">
      <c r="A363" s="785" t="s">
        <v>79</v>
      </c>
      <c r="B363" s="855">
        <v>95</v>
      </c>
      <c r="C363" s="1933"/>
      <c r="D363" s="857">
        <v>136</v>
      </c>
      <c r="E363" s="856"/>
      <c r="F363" s="857">
        <v>190</v>
      </c>
      <c r="G363" s="856"/>
      <c r="H363" s="858">
        <v>296</v>
      </c>
      <c r="I363" s="856"/>
      <c r="J363" s="858">
        <v>220</v>
      </c>
      <c r="K363" s="848"/>
      <c r="L363" s="849">
        <v>160</v>
      </c>
      <c r="M363" s="755"/>
      <c r="N363" s="1927">
        <v>160</v>
      </c>
      <c r="O363" s="755"/>
      <c r="P363" s="1927">
        <v>160</v>
      </c>
      <c r="Q363" s="755"/>
      <c r="R363" s="1927">
        <v>160</v>
      </c>
      <c r="S363" s="755"/>
      <c r="T363" s="3191">
        <f t="shared" ref="T363:T364" si="432">(((N363/B363)^(1/6)-1))</f>
        <v>9.0768856595202729E-2</v>
      </c>
      <c r="U363" s="77"/>
      <c r="V363" s="78">
        <f t="shared" ref="V363:V364" si="433">(P363-N363)/N363</f>
        <v>0</v>
      </c>
      <c r="W363" s="77"/>
      <c r="X363" s="3192">
        <f t="shared" ref="X363:X364" si="434">(R363-P363)/P363</f>
        <v>0</v>
      </c>
    </row>
    <row r="364" spans="1:25" s="751" customFormat="1" ht="13.8" thickBot="1">
      <c r="A364" s="800" t="s">
        <v>80</v>
      </c>
      <c r="B364" s="850">
        <v>55.2</v>
      </c>
      <c r="C364" s="1929"/>
      <c r="D364" s="852">
        <v>91.3</v>
      </c>
      <c r="E364" s="851"/>
      <c r="F364" s="852">
        <v>134.4</v>
      </c>
      <c r="G364" s="851"/>
      <c r="H364" s="853">
        <v>333.1</v>
      </c>
      <c r="I364" s="851"/>
      <c r="J364" s="853">
        <v>286.3</v>
      </c>
      <c r="K364" s="854"/>
      <c r="L364" s="853">
        <v>204.6</v>
      </c>
      <c r="M364" s="97"/>
      <c r="N364" s="1931">
        <v>204.6</v>
      </c>
      <c r="O364" s="97"/>
      <c r="P364" s="1931">
        <v>204.6</v>
      </c>
      <c r="Q364" s="97"/>
      <c r="R364" s="1931">
        <v>204.6</v>
      </c>
      <c r="S364" s="97"/>
      <c r="T364" s="3191">
        <f t="shared" si="432"/>
        <v>0.24402113456447627</v>
      </c>
      <c r="U364" s="77"/>
      <c r="V364" s="78">
        <f t="shared" si="433"/>
        <v>0</v>
      </c>
      <c r="W364" s="77"/>
      <c r="X364" s="3192">
        <f t="shared" si="434"/>
        <v>0</v>
      </c>
      <c r="Y364" s="3259"/>
    </row>
    <row r="365" spans="1:25" s="1843" customFormat="1" ht="13.8" thickBot="1">
      <c r="A365" s="111"/>
      <c r="B365" s="112"/>
      <c r="C365" s="112"/>
      <c r="D365" s="112"/>
      <c r="E365" s="112"/>
      <c r="F365" s="113"/>
      <c r="G365" s="112"/>
      <c r="H365" s="112"/>
      <c r="I365" s="112"/>
      <c r="J365" s="112"/>
      <c r="K365" s="112"/>
      <c r="L365" s="112"/>
      <c r="M365" s="112"/>
      <c r="N365" s="112"/>
      <c r="O365" s="112"/>
      <c r="P365" s="112"/>
      <c r="Q365" s="112"/>
      <c r="R365" s="112"/>
      <c r="S365" s="112"/>
      <c r="T365" s="112"/>
      <c r="U365" s="112"/>
      <c r="V365" s="112"/>
      <c r="W365" s="112"/>
      <c r="X365" s="112"/>
    </row>
    <row r="366" spans="1:25" s="1847" customFormat="1">
      <c r="A366" s="114" t="s">
        <v>208</v>
      </c>
      <c r="B366" s="1875" t="s">
        <v>13</v>
      </c>
      <c r="C366" s="3051"/>
      <c r="D366" s="1877" t="s">
        <v>13</v>
      </c>
      <c r="E366" s="1876"/>
      <c r="F366" s="1878" t="s">
        <v>13</v>
      </c>
      <c r="G366" s="1876"/>
      <c r="H366" s="1878" t="s">
        <v>13</v>
      </c>
      <c r="I366" s="1876"/>
      <c r="J366" s="1878" t="s">
        <v>13</v>
      </c>
      <c r="K366" s="1876"/>
      <c r="L366" s="1879" t="s">
        <v>14</v>
      </c>
      <c r="M366" s="1876"/>
      <c r="N366" s="1879" t="s">
        <v>15</v>
      </c>
      <c r="O366" s="1876"/>
      <c r="P366" s="1880" t="s">
        <v>16</v>
      </c>
      <c r="Q366" s="1876"/>
      <c r="R366" s="1881" t="s">
        <v>16</v>
      </c>
      <c r="S366" s="1876"/>
      <c r="T366" s="1882" t="s">
        <v>62</v>
      </c>
      <c r="U366" s="1883"/>
      <c r="V366" s="1884" t="s">
        <v>75</v>
      </c>
      <c r="W366" s="1883"/>
      <c r="X366" s="1885" t="s">
        <v>75</v>
      </c>
    </row>
    <row r="367" spans="1:25" s="1847" customFormat="1" ht="13.8" thickBot="1">
      <c r="A367" s="1886"/>
      <c r="B367" s="1887" t="s">
        <v>3</v>
      </c>
      <c r="C367" s="3053"/>
      <c r="D367" s="1889" t="s">
        <v>4</v>
      </c>
      <c r="E367" s="1888"/>
      <c r="F367" s="1890" t="s">
        <v>5</v>
      </c>
      <c r="G367" s="1888"/>
      <c r="H367" s="1891" t="s">
        <v>6</v>
      </c>
      <c r="I367" s="1888"/>
      <c r="J367" s="1891" t="s">
        <v>7</v>
      </c>
      <c r="K367" s="1888"/>
      <c r="L367" s="1891" t="s">
        <v>8</v>
      </c>
      <c r="M367" s="1888"/>
      <c r="N367" s="1891" t="s">
        <v>9</v>
      </c>
      <c r="O367" s="1888"/>
      <c r="P367" s="1892" t="s">
        <v>10</v>
      </c>
      <c r="Q367" s="1888"/>
      <c r="R367" s="1893" t="s">
        <v>11</v>
      </c>
      <c r="S367" s="1888"/>
      <c r="T367" s="1894" t="s">
        <v>63</v>
      </c>
      <c r="U367" s="1895"/>
      <c r="V367" s="1896" t="s">
        <v>76</v>
      </c>
      <c r="W367" s="1895"/>
      <c r="X367" s="1897" t="s">
        <v>77</v>
      </c>
    </row>
    <row r="368" spans="1:25" s="1843" customFormat="1">
      <c r="A368" s="1898" t="s">
        <v>81</v>
      </c>
      <c r="B368" s="115"/>
      <c r="C368" s="3073"/>
      <c r="D368" s="116"/>
      <c r="E368" s="1867"/>
      <c r="F368" s="116"/>
      <c r="G368" s="1867"/>
      <c r="H368" s="117"/>
      <c r="I368" s="1867"/>
      <c r="J368" s="117"/>
      <c r="K368" s="1867"/>
      <c r="L368" s="117"/>
      <c r="M368" s="1867"/>
      <c r="N368" s="117"/>
      <c r="O368" s="1867"/>
      <c r="P368" s="118"/>
      <c r="Q368" s="1867"/>
      <c r="R368" s="119"/>
      <c r="S368" s="1867"/>
      <c r="T368" s="120"/>
      <c r="U368" s="1867"/>
      <c r="V368" s="117"/>
      <c r="W368" s="1867"/>
      <c r="X368" s="121"/>
    </row>
    <row r="369" spans="1:24" s="1843" customFormat="1">
      <c r="A369" s="1850" t="s">
        <v>19</v>
      </c>
      <c r="B369" s="1860">
        <f>SUM(B370:B372)</f>
        <v>62161</v>
      </c>
      <c r="C369" s="3065"/>
      <c r="D369" s="1862">
        <f>SUM(D370:D372)</f>
        <v>62619</v>
      </c>
      <c r="E369" s="1861"/>
      <c r="F369" s="1862">
        <f>SUM(F370:F372)</f>
        <v>63758</v>
      </c>
      <c r="G369" s="1861"/>
      <c r="H369" s="1862">
        <f>SUM(H370:H372)</f>
        <v>65356</v>
      </c>
      <c r="I369" s="1861"/>
      <c r="J369" s="1862">
        <f>SUM(J370:J372)</f>
        <v>65454</v>
      </c>
      <c r="K369" s="1861"/>
      <c r="L369" s="1862">
        <f>SUM(L370:L372)</f>
        <v>66648</v>
      </c>
      <c r="M369" s="1861"/>
      <c r="N369" s="1862">
        <f>SUM(N370:N372)</f>
        <v>66648</v>
      </c>
      <c r="O369" s="1861"/>
      <c r="P369" s="1862">
        <f>SUM(P370:P372)</f>
        <v>66648</v>
      </c>
      <c r="Q369" s="1861"/>
      <c r="R369" s="122">
        <f>SUM(R370:R372)</f>
        <v>66869.64</v>
      </c>
      <c r="S369" s="1861"/>
      <c r="T369" s="3188">
        <f>(((N369/B369)^(1/6)-1))</f>
        <v>1.1683937678260259E-2</v>
      </c>
      <c r="U369" s="25"/>
      <c r="V369" s="3189">
        <f>(P369-N369)/N369</f>
        <v>0</v>
      </c>
      <c r="W369" s="25"/>
      <c r="X369" s="3190">
        <f>(R369-P369)/P369</f>
        <v>3.3255311487216332E-3</v>
      </c>
    </row>
    <row r="370" spans="1:24" s="1843" customFormat="1">
      <c r="A370" s="1850" t="s">
        <v>20</v>
      </c>
      <c r="B370" s="1901">
        <f>B406+B442+B478+B514</f>
        <v>49131</v>
      </c>
      <c r="C370" s="1902"/>
      <c r="D370" s="1903">
        <f>D406+D442+D478+D514</f>
        <v>49418</v>
      </c>
      <c r="E370" s="1902"/>
      <c r="F370" s="1903">
        <f>F406+F442+F478+F514</f>
        <v>49835</v>
      </c>
      <c r="G370" s="1902"/>
      <c r="H370" s="1903">
        <f>H406+H442+H478+H514</f>
        <v>51204</v>
      </c>
      <c r="I370" s="1902"/>
      <c r="J370" s="1903">
        <f>J406+J442+J478+J514</f>
        <v>50474</v>
      </c>
      <c r="K370" s="1904"/>
      <c r="L370" s="1903">
        <f>L406+L442+L478+L514</f>
        <v>50389</v>
      </c>
      <c r="M370" s="1902"/>
      <c r="N370" s="1903">
        <f>N406+N442+N478+N514</f>
        <v>50389</v>
      </c>
      <c r="O370" s="1902"/>
      <c r="P370" s="1903">
        <f>P406+P442+P478+P514</f>
        <v>50389</v>
      </c>
      <c r="Q370" s="1902"/>
      <c r="R370" s="1905">
        <f>R406+R442+R478+R514</f>
        <v>50566.020000000004</v>
      </c>
      <c r="S370" s="1864"/>
      <c r="T370" s="3191">
        <f t="shared" ref="T370:T373" si="435">(((N370/B370)^(1/6)-1))</f>
        <v>4.2226733248296178E-3</v>
      </c>
      <c r="U370" s="77"/>
      <c r="V370" s="78">
        <f t="shared" ref="V370:V381" si="436">(P370-N370)/N370</f>
        <v>0</v>
      </c>
      <c r="W370" s="77"/>
      <c r="X370" s="3192">
        <f t="shared" ref="X370:X381" si="437">(R370-P370)/P370</f>
        <v>3.5130683284050898E-3</v>
      </c>
    </row>
    <row r="371" spans="1:24" s="1843" customFormat="1">
      <c r="A371" s="1850" t="s">
        <v>17</v>
      </c>
      <c r="B371" s="1901">
        <f>B407+B443+B479+B515</f>
        <v>13030</v>
      </c>
      <c r="C371" s="1902"/>
      <c r="D371" s="1903">
        <f>D407+D443+D479+D515</f>
        <v>13201</v>
      </c>
      <c r="E371" s="1902"/>
      <c r="F371" s="1903">
        <f>F407+F443+F479+F515</f>
        <v>13923</v>
      </c>
      <c r="G371" s="1902"/>
      <c r="H371" s="1903">
        <f>H407+H443+H479+H515</f>
        <v>14152</v>
      </c>
      <c r="I371" s="1902"/>
      <c r="J371" s="1903">
        <f>J407+J443+J479+J515</f>
        <v>14980</v>
      </c>
      <c r="K371" s="1904"/>
      <c r="L371" s="1903">
        <f>L407+L443+L479+L515</f>
        <v>16259</v>
      </c>
      <c r="M371" s="1902"/>
      <c r="N371" s="1903">
        <f>N407+N443+N479+N515</f>
        <v>16259</v>
      </c>
      <c r="O371" s="1902"/>
      <c r="P371" s="1903">
        <f>P407+P443+P479+P515</f>
        <v>16259</v>
      </c>
      <c r="Q371" s="1902"/>
      <c r="R371" s="1905">
        <f>R407+R443+R479+R515</f>
        <v>16303.619999999999</v>
      </c>
      <c r="S371" s="1864"/>
      <c r="T371" s="3191">
        <f t="shared" si="435"/>
        <v>3.7587909670951714E-2</v>
      </c>
      <c r="U371" s="77"/>
      <c r="V371" s="78">
        <f t="shared" si="436"/>
        <v>0</v>
      </c>
      <c r="W371" s="77"/>
      <c r="X371" s="3192">
        <f t="shared" si="437"/>
        <v>2.7443262193246189E-3</v>
      </c>
    </row>
    <row r="372" spans="1:24" s="1843" customFormat="1">
      <c r="A372" s="1850" t="s">
        <v>154</v>
      </c>
      <c r="B372" s="1901">
        <f t="shared" ref="B372:D378" si="438">B408+B444+B480+B516</f>
        <v>0</v>
      </c>
      <c r="C372" s="1902"/>
      <c r="D372" s="1903">
        <v>0</v>
      </c>
      <c r="E372" s="1902"/>
      <c r="F372" s="1903">
        <v>0</v>
      </c>
      <c r="G372" s="1902"/>
      <c r="H372" s="1903">
        <v>0</v>
      </c>
      <c r="I372" s="1902"/>
      <c r="J372" s="1903">
        <v>0</v>
      </c>
      <c r="K372" s="1904"/>
      <c r="L372" s="1903">
        <v>0</v>
      </c>
      <c r="M372" s="1902"/>
      <c r="N372" s="1903">
        <v>0</v>
      </c>
      <c r="O372" s="1902"/>
      <c r="P372" s="1903">
        <v>0</v>
      </c>
      <c r="Q372" s="1902"/>
      <c r="R372" s="1905">
        <v>0</v>
      </c>
      <c r="S372" s="1864"/>
      <c r="T372" s="3191"/>
      <c r="U372" s="77"/>
      <c r="V372" s="78"/>
      <c r="W372" s="77"/>
      <c r="X372" s="3192"/>
    </row>
    <row r="373" spans="1:24" s="1843" customFormat="1">
      <c r="A373" s="1850" t="s">
        <v>21</v>
      </c>
      <c r="B373" s="1860">
        <f>SUM(B374:B376)</f>
        <v>11332</v>
      </c>
      <c r="C373" s="3065"/>
      <c r="D373" s="1862">
        <f>SUM(D374:D376)</f>
        <v>11587</v>
      </c>
      <c r="E373" s="1861"/>
      <c r="F373" s="1862">
        <f>SUM(F374:F376)</f>
        <v>11874</v>
      </c>
      <c r="G373" s="1861"/>
      <c r="H373" s="1862">
        <f>SUM(H374:H376)</f>
        <v>12462</v>
      </c>
      <c r="I373" s="1861"/>
      <c r="J373" s="1862">
        <f>SUM(J374:J376)</f>
        <v>12339</v>
      </c>
      <c r="K373" s="1861"/>
      <c r="L373" s="1862">
        <f>SUM(L374:L376)</f>
        <v>11952</v>
      </c>
      <c r="M373" s="1861"/>
      <c r="N373" s="1862">
        <f>SUM(N374:N376)</f>
        <v>11952</v>
      </c>
      <c r="O373" s="1861"/>
      <c r="P373" s="1862">
        <f>SUM(P374:P376)</f>
        <v>11952</v>
      </c>
      <c r="Q373" s="1861"/>
      <c r="R373" s="122">
        <f>SUM(R374:R376)</f>
        <v>11982.6</v>
      </c>
      <c r="S373" s="1864"/>
      <c r="T373" s="3197">
        <f t="shared" si="435"/>
        <v>8.9175341330134383E-3</v>
      </c>
      <c r="U373" s="1480"/>
      <c r="V373" s="1479">
        <f t="shared" si="436"/>
        <v>0</v>
      </c>
      <c r="W373" s="1480"/>
      <c r="X373" s="3198">
        <f t="shared" si="437"/>
        <v>2.5602409638554521E-3</v>
      </c>
    </row>
    <row r="374" spans="1:24" s="1843" customFormat="1">
      <c r="A374" s="1850" t="s">
        <v>20</v>
      </c>
      <c r="B374" s="1901">
        <f t="shared" si="438"/>
        <v>4742</v>
      </c>
      <c r="C374" s="1902"/>
      <c r="D374" s="1903">
        <f t="shared" si="438"/>
        <v>4942</v>
      </c>
      <c r="E374" s="1902"/>
      <c r="F374" s="1903">
        <f t="shared" ref="F374" si="439">F410+F446+F482+F518</f>
        <v>4843</v>
      </c>
      <c r="G374" s="1902"/>
      <c r="H374" s="1903">
        <f t="shared" ref="H374" si="440">H410+H446+H482+H518</f>
        <v>5195</v>
      </c>
      <c r="I374" s="1902"/>
      <c r="J374" s="1903">
        <f t="shared" ref="J374" si="441">J410+J446+J482+J518</f>
        <v>4707</v>
      </c>
      <c r="K374" s="1904"/>
      <c r="L374" s="1903">
        <f t="shared" ref="L374" si="442">L410+L446+L482+L518</f>
        <v>4308</v>
      </c>
      <c r="M374" s="1902"/>
      <c r="N374" s="1903">
        <f t="shared" ref="N374" si="443">N410+N446+N482+N518</f>
        <v>4308</v>
      </c>
      <c r="O374" s="1902"/>
      <c r="P374" s="1906">
        <f t="shared" ref="P374" si="444">P410+P446+P482+P518</f>
        <v>4308</v>
      </c>
      <c r="Q374" s="1902"/>
      <c r="R374" s="1905">
        <f t="shared" ref="R374" si="445">R410+R446+R482+R518</f>
        <v>4329.92</v>
      </c>
      <c r="S374" s="1864"/>
      <c r="T374" s="3191">
        <f>(((N374/B374)^(1/6)-1))</f>
        <v>-1.587025707752554E-2</v>
      </c>
      <c r="U374" s="77"/>
      <c r="V374" s="78">
        <f t="shared" si="436"/>
        <v>0</v>
      </c>
      <c r="W374" s="77"/>
      <c r="X374" s="3192">
        <f t="shared" si="437"/>
        <v>5.0882079851439352E-3</v>
      </c>
    </row>
    <row r="375" spans="1:24" s="1843" customFormat="1">
      <c r="A375" s="1850" t="s">
        <v>17</v>
      </c>
      <c r="B375" s="1901">
        <f>B411+B447+B483+B519</f>
        <v>6590</v>
      </c>
      <c r="C375" s="1902"/>
      <c r="D375" s="1903">
        <f t="shared" si="438"/>
        <v>6645</v>
      </c>
      <c r="E375" s="1902"/>
      <c r="F375" s="1903">
        <f t="shared" ref="F375" si="446">F411+F447+F483+F519</f>
        <v>7031</v>
      </c>
      <c r="G375" s="1902"/>
      <c r="H375" s="1903">
        <f t="shared" ref="H375" si="447">H411+H447+H483+H519</f>
        <v>7267</v>
      </c>
      <c r="I375" s="1902"/>
      <c r="J375" s="1903">
        <f t="shared" ref="J375" si="448">J411+J447+J483+J519</f>
        <v>7632</v>
      </c>
      <c r="K375" s="1904"/>
      <c r="L375" s="1903">
        <f t="shared" ref="L375" si="449">L411+L447+L483+L519</f>
        <v>7644</v>
      </c>
      <c r="M375" s="1902"/>
      <c r="N375" s="1903">
        <f t="shared" ref="N375" si="450">N411+N447+N483+N519</f>
        <v>7644</v>
      </c>
      <c r="O375" s="1902"/>
      <c r="P375" s="1906">
        <f t="shared" ref="P375" si="451">P411+P447+P483+P519</f>
        <v>7644</v>
      </c>
      <c r="Q375" s="1902"/>
      <c r="R375" s="1905">
        <f t="shared" ref="R375" si="452">R411+R447+R483+R519</f>
        <v>7652.68</v>
      </c>
      <c r="S375" s="1864"/>
      <c r="T375" s="3191">
        <f t="shared" ref="T375:T379" si="453">(((N375/B375)^(1/6)-1))</f>
        <v>2.5036217703085395E-2</v>
      </c>
      <c r="U375" s="77"/>
      <c r="V375" s="78">
        <f t="shared" si="436"/>
        <v>0</v>
      </c>
      <c r="W375" s="77"/>
      <c r="X375" s="3192">
        <f t="shared" si="437"/>
        <v>1.1355311355311737E-3</v>
      </c>
    </row>
    <row r="376" spans="1:24" s="1843" customFormat="1">
      <c r="A376" s="1850" t="s">
        <v>154</v>
      </c>
      <c r="B376" s="1901">
        <f t="shared" si="438"/>
        <v>0</v>
      </c>
      <c r="C376" s="1902"/>
      <c r="D376" s="1903">
        <f t="shared" si="438"/>
        <v>0</v>
      </c>
      <c r="E376" s="1902"/>
      <c r="F376" s="1903">
        <f t="shared" ref="F376" si="454">F412+F448+F484+F520</f>
        <v>0</v>
      </c>
      <c r="G376" s="1902"/>
      <c r="H376" s="1903">
        <f t="shared" ref="H376" si="455">H412+H448+H484+H520</f>
        <v>0</v>
      </c>
      <c r="I376" s="1902"/>
      <c r="J376" s="1903">
        <f t="shared" ref="J376" si="456">J412+J448+J484+J520</f>
        <v>0</v>
      </c>
      <c r="K376" s="1904"/>
      <c r="L376" s="1903">
        <f t="shared" ref="L376" si="457">L412+L448+L484+L520</f>
        <v>0</v>
      </c>
      <c r="M376" s="1902"/>
      <c r="N376" s="1903">
        <f t="shared" ref="N376" si="458">N412+N448+N484+N520</f>
        <v>0</v>
      </c>
      <c r="O376" s="1902"/>
      <c r="P376" s="1906">
        <f t="shared" ref="P376" si="459">P412+P448+P484+P520</f>
        <v>0</v>
      </c>
      <c r="Q376" s="1902"/>
      <c r="R376" s="1905">
        <f t="shared" ref="R376" si="460">R412+R448+R484+R520</f>
        <v>0</v>
      </c>
      <c r="S376" s="1864"/>
      <c r="T376" s="3191"/>
      <c r="U376" s="77"/>
      <c r="V376" s="78"/>
      <c r="W376" s="77"/>
      <c r="X376" s="3192"/>
    </row>
    <row r="377" spans="1:24" s="1843" customFormat="1">
      <c r="A377" s="1907" t="s">
        <v>22</v>
      </c>
      <c r="B377" s="1860">
        <f>SUM(B378:B380)</f>
        <v>994</v>
      </c>
      <c r="C377" s="3065"/>
      <c r="D377" s="1862">
        <f>SUM(D378:D380)</f>
        <v>1028</v>
      </c>
      <c r="E377" s="1861"/>
      <c r="F377" s="1862">
        <f>SUM(F378:F380)</f>
        <v>967</v>
      </c>
      <c r="G377" s="1861"/>
      <c r="H377" s="1862">
        <f>SUM(H378:H380)</f>
        <v>974</v>
      </c>
      <c r="I377" s="1861"/>
      <c r="J377" s="1862">
        <f>SUM(J378:J380)</f>
        <v>988</v>
      </c>
      <c r="K377" s="1861"/>
      <c r="L377" s="1862">
        <f>SUM(L378:L380)</f>
        <v>998</v>
      </c>
      <c r="M377" s="1861"/>
      <c r="N377" s="1862">
        <f>SUM(N378:N380)</f>
        <v>998</v>
      </c>
      <c r="O377" s="1861"/>
      <c r="P377" s="1862">
        <f>SUM(P378:P380)</f>
        <v>998</v>
      </c>
      <c r="Q377" s="1861"/>
      <c r="R377" s="122">
        <f>SUM(R378:R380)</f>
        <v>998</v>
      </c>
      <c r="S377" s="1864"/>
      <c r="T377" s="3197">
        <f t="shared" si="453"/>
        <v>6.6956900379633311E-4</v>
      </c>
      <c r="U377" s="1480"/>
      <c r="V377" s="1479">
        <f t="shared" si="436"/>
        <v>0</v>
      </c>
      <c r="W377" s="1480"/>
      <c r="X377" s="3198">
        <f t="shared" si="437"/>
        <v>0</v>
      </c>
    </row>
    <row r="378" spans="1:24" s="1843" customFormat="1">
      <c r="A378" s="1850" t="s">
        <v>20</v>
      </c>
      <c r="B378" s="1901">
        <f t="shared" si="438"/>
        <v>723</v>
      </c>
      <c r="C378" s="1902"/>
      <c r="D378" s="1908">
        <f t="shared" ref="D378" si="461">D414+D450+D486+D522</f>
        <v>718</v>
      </c>
      <c r="E378" s="1902"/>
      <c r="F378" s="1908">
        <f t="shared" ref="F378" si="462">F414+F450+F486+F522</f>
        <v>695</v>
      </c>
      <c r="G378" s="1902"/>
      <c r="H378" s="1908">
        <f t="shared" ref="H378" si="463">H414+H450+H486+H522</f>
        <v>695</v>
      </c>
      <c r="I378" s="1902"/>
      <c r="J378" s="1908">
        <f t="shared" ref="J378" si="464">J414+J450+J486+J522</f>
        <v>705</v>
      </c>
      <c r="K378" s="1904"/>
      <c r="L378" s="1908">
        <f t="shared" ref="L378" si="465">L414+L450+L486+L522</f>
        <v>709</v>
      </c>
      <c r="M378" s="1902"/>
      <c r="N378" s="1903">
        <f t="shared" ref="N378" si="466">N414+N450+N486+N522</f>
        <v>709</v>
      </c>
      <c r="O378" s="1902"/>
      <c r="P378" s="1906">
        <f t="shared" ref="P378" si="467">P414+P450+P486+P522</f>
        <v>709</v>
      </c>
      <c r="Q378" s="1902"/>
      <c r="R378" s="1905">
        <f t="shared" ref="R378" si="468">R414+R450+R486+R522</f>
        <v>709</v>
      </c>
      <c r="S378" s="1864"/>
      <c r="T378" s="3191">
        <f t="shared" si="453"/>
        <v>-3.2536446599812363E-3</v>
      </c>
      <c r="U378" s="77"/>
      <c r="V378" s="78">
        <f t="shared" si="436"/>
        <v>0</v>
      </c>
      <c r="W378" s="77"/>
      <c r="X378" s="3192">
        <f t="shared" si="437"/>
        <v>0</v>
      </c>
    </row>
    <row r="379" spans="1:24" s="1843" customFormat="1">
      <c r="A379" s="1850" t="s">
        <v>17</v>
      </c>
      <c r="B379" s="1901">
        <f>B415+B451+B487+B523</f>
        <v>271</v>
      </c>
      <c r="C379" s="1902"/>
      <c r="D379" s="1908">
        <f t="shared" ref="D379" si="469">D415+D451+D487+D523</f>
        <v>310</v>
      </c>
      <c r="E379" s="1902"/>
      <c r="F379" s="1908">
        <f t="shared" ref="F379" si="470">F415+F451+F487+F523</f>
        <v>272</v>
      </c>
      <c r="G379" s="1902"/>
      <c r="H379" s="1908">
        <f t="shared" ref="H379" si="471">H415+H451+H487+H523</f>
        <v>279</v>
      </c>
      <c r="I379" s="1902"/>
      <c r="J379" s="1908">
        <f t="shared" ref="J379" si="472">J415+J451+J487+J523</f>
        <v>283</v>
      </c>
      <c r="K379" s="1904"/>
      <c r="L379" s="1908">
        <f t="shared" ref="L379" si="473">L415+L451+L487+L523</f>
        <v>289</v>
      </c>
      <c r="M379" s="1902"/>
      <c r="N379" s="1903">
        <f t="shared" ref="N379" si="474">N415+N451+N487+N523</f>
        <v>289</v>
      </c>
      <c r="O379" s="1902"/>
      <c r="P379" s="1906">
        <f t="shared" ref="P379" si="475">P415+P451+P487+P523</f>
        <v>289</v>
      </c>
      <c r="Q379" s="1902"/>
      <c r="R379" s="1905">
        <f t="shared" ref="R379" si="476">R415+R451+R487+R523</f>
        <v>289</v>
      </c>
      <c r="S379" s="1864"/>
      <c r="T379" s="3191">
        <f t="shared" si="453"/>
        <v>1.0775621152687931E-2</v>
      </c>
      <c r="U379" s="77"/>
      <c r="V379" s="78">
        <f t="shared" si="436"/>
        <v>0</v>
      </c>
      <c r="W379" s="77"/>
      <c r="X379" s="3192">
        <f t="shared" si="437"/>
        <v>0</v>
      </c>
    </row>
    <row r="380" spans="1:24" s="1843" customFormat="1" ht="13.8" thickBot="1">
      <c r="A380" s="102" t="s">
        <v>154</v>
      </c>
      <c r="B380" s="1773">
        <f>B416+B452+B488+B524</f>
        <v>0</v>
      </c>
      <c r="C380" s="1909"/>
      <c r="D380" s="1910">
        <f t="shared" ref="D380" si="477">D416+D452+D488+D524</f>
        <v>0</v>
      </c>
      <c r="E380" s="1909"/>
      <c r="F380" s="1910">
        <f t="shared" ref="F380" si="478">F416+F452+F488+F524</f>
        <v>0</v>
      </c>
      <c r="G380" s="1909"/>
      <c r="H380" s="1910">
        <f t="shared" ref="H380" si="479">H416+H452+H488+H524</f>
        <v>0</v>
      </c>
      <c r="I380" s="1909"/>
      <c r="J380" s="1910">
        <f t="shared" ref="J380" si="480">J416+J452+J488+J524</f>
        <v>0</v>
      </c>
      <c r="K380" s="1911"/>
      <c r="L380" s="1910">
        <f t="shared" ref="L380" si="481">L416+L452+L488+L524</f>
        <v>0</v>
      </c>
      <c r="M380" s="1909"/>
      <c r="N380" s="1912">
        <f t="shared" ref="N380" si="482">N416+N452+N488+N524</f>
        <v>0</v>
      </c>
      <c r="O380" s="1909"/>
      <c r="P380" s="1913">
        <f t="shared" ref="P380" si="483">P416+P452+P488+P524</f>
        <v>0</v>
      </c>
      <c r="Q380" s="1909"/>
      <c r="R380" s="1914">
        <f t="shared" ref="R380" si="484">R416+R452+R488+R524</f>
        <v>0</v>
      </c>
      <c r="S380" s="1866"/>
      <c r="T380" s="3193"/>
      <c r="U380" s="3194"/>
      <c r="V380" s="3195"/>
      <c r="W380" s="3194"/>
      <c r="X380" s="3196"/>
    </row>
    <row r="381" spans="1:24" s="1843" customFormat="1" ht="13.8" thickTop="1">
      <c r="A381" s="1926" t="s">
        <v>23</v>
      </c>
      <c r="B381" s="123">
        <f>B369+B373+B377</f>
        <v>74487</v>
      </c>
      <c r="C381" s="124"/>
      <c r="D381" s="1869">
        <f>D369+D373+D377</f>
        <v>75234</v>
      </c>
      <c r="E381" s="124"/>
      <c r="F381" s="1869">
        <f>F369+F373+F377</f>
        <v>76599</v>
      </c>
      <c r="G381" s="124"/>
      <c r="H381" s="1869">
        <f>H369+H373+H377</f>
        <v>78792</v>
      </c>
      <c r="I381" s="124"/>
      <c r="J381" s="1869">
        <f>J369+J373+J377</f>
        <v>78781</v>
      </c>
      <c r="K381" s="124"/>
      <c r="L381" s="1869">
        <f>L369+L373+L377</f>
        <v>79598</v>
      </c>
      <c r="M381" s="124"/>
      <c r="N381" s="1869">
        <f>N369+N373+N377</f>
        <v>79598</v>
      </c>
      <c r="O381" s="124"/>
      <c r="P381" s="1862">
        <f>P369+P373+P377</f>
        <v>79598</v>
      </c>
      <c r="Q381" s="124"/>
      <c r="R381" s="122">
        <f>R369+R373+R377</f>
        <v>79850.240000000005</v>
      </c>
      <c r="S381" s="124"/>
      <c r="T381" s="3197">
        <f t="shared" ref="T381" si="485">(((N381/B381)^(1/6)-1))</f>
        <v>1.1122121542843422E-2</v>
      </c>
      <c r="U381" s="1480"/>
      <c r="V381" s="1479">
        <f t="shared" si="436"/>
        <v>0</v>
      </c>
      <c r="W381" s="1480"/>
      <c r="X381" s="3198">
        <f t="shared" si="437"/>
        <v>3.1689238423076617E-3</v>
      </c>
    </row>
    <row r="382" spans="1:24" s="1843" customFormat="1" ht="8.25" customHeight="1" thickBot="1">
      <c r="A382" s="1915"/>
      <c r="B382" s="126"/>
      <c r="C382" s="3068"/>
      <c r="D382" s="1864"/>
      <c r="E382" s="1864"/>
      <c r="F382" s="1864"/>
      <c r="G382" s="1864"/>
      <c r="H382" s="1864"/>
      <c r="I382" s="1864"/>
      <c r="J382" s="1864"/>
      <c r="K382" s="1864"/>
      <c r="L382" s="1864"/>
      <c r="M382" s="1864"/>
      <c r="N382" s="1864"/>
      <c r="O382" s="1864"/>
      <c r="P382" s="1861"/>
      <c r="Q382" s="1864"/>
      <c r="R382" s="127"/>
      <c r="S382" s="1864"/>
      <c r="T382" s="84"/>
      <c r="U382" s="34"/>
      <c r="V382" s="34"/>
      <c r="W382" s="34"/>
      <c r="X382" s="42"/>
    </row>
    <row r="383" spans="1:24" s="1843" customFormat="1">
      <c r="A383" s="1898" t="s">
        <v>24</v>
      </c>
      <c r="B383" s="115"/>
      <c r="C383" s="3073"/>
      <c r="D383" s="116"/>
      <c r="E383" s="1867"/>
      <c r="F383" s="116"/>
      <c r="G383" s="1867"/>
      <c r="H383" s="117"/>
      <c r="I383" s="1867"/>
      <c r="J383" s="117"/>
      <c r="K383" s="1867"/>
      <c r="L383" s="117"/>
      <c r="M383" s="1867"/>
      <c r="N383" s="117"/>
      <c r="O383" s="1867"/>
      <c r="P383" s="118"/>
      <c r="Q383" s="1867"/>
      <c r="R383" s="119"/>
      <c r="S383" s="1867"/>
      <c r="T383" s="86"/>
      <c r="U383" s="45"/>
      <c r="V383" s="47"/>
      <c r="W383" s="45"/>
      <c r="X383" s="85"/>
    </row>
    <row r="384" spans="1:24" s="1843" customFormat="1">
      <c r="A384" s="1850" t="s">
        <v>19</v>
      </c>
      <c r="B384" s="1860">
        <f>SUM(B385:B387)</f>
        <v>48344.3</v>
      </c>
      <c r="C384" s="3065"/>
      <c r="D384" s="1862">
        <f>SUM(D385:D387)</f>
        <v>48792.2</v>
      </c>
      <c r="E384" s="1861"/>
      <c r="F384" s="1862">
        <f>SUM(F385:F387)</f>
        <v>49476.700000000004</v>
      </c>
      <c r="G384" s="1861"/>
      <c r="H384" s="1862">
        <f>SUM(H385:H387)</f>
        <v>50649.000000000007</v>
      </c>
      <c r="I384" s="1861"/>
      <c r="J384" s="1862">
        <f>SUM(J385:J387)</f>
        <v>50774.200000000004</v>
      </c>
      <c r="K384" s="1861"/>
      <c r="L384" s="1862">
        <f>SUM(L385:L387)</f>
        <v>51069.46</v>
      </c>
      <c r="M384" s="1861"/>
      <c r="N384" s="1862">
        <f>SUM(N385:N387)</f>
        <v>51069.46</v>
      </c>
      <c r="O384" s="1861"/>
      <c r="P384" s="1862">
        <f>SUM(P385:P387)</f>
        <v>51069.46</v>
      </c>
      <c r="Q384" s="1861"/>
      <c r="R384" s="122">
        <f>SUM(R385:R387)</f>
        <v>51201.883999999998</v>
      </c>
      <c r="S384" s="1861"/>
      <c r="T384" s="3188">
        <f>(((N384/B384)^(1/6)-1))</f>
        <v>9.1816185322723953E-3</v>
      </c>
      <c r="U384" s="25"/>
      <c r="V384" s="3189">
        <f>(P384-N384)/N384</f>
        <v>0</v>
      </c>
      <c r="W384" s="25"/>
      <c r="X384" s="3190">
        <f>(R384-P384)/P384</f>
        <v>2.5930174315530077E-3</v>
      </c>
    </row>
    <row r="385" spans="1:24" s="1843" customFormat="1">
      <c r="A385" s="1850" t="s">
        <v>20</v>
      </c>
      <c r="B385" s="1901">
        <f t="shared" ref="B385:D389" si="486">B421+B457+B493+B529</f>
        <v>36716.5</v>
      </c>
      <c r="C385" s="1916"/>
      <c r="D385" s="1917">
        <f t="shared" si="486"/>
        <v>37011.1</v>
      </c>
      <c r="E385" s="1916"/>
      <c r="F385" s="1917">
        <f t="shared" ref="F385" si="487">F421+F457+F493+F529</f>
        <v>37161.800000000003</v>
      </c>
      <c r="G385" s="1916"/>
      <c r="H385" s="1917">
        <f t="shared" ref="H385" si="488">H421+H457+H493+H529</f>
        <v>37978.600000000006</v>
      </c>
      <c r="I385" s="1916"/>
      <c r="J385" s="1917">
        <f t="shared" ref="J385" si="489">J421+J457+J493+J529</f>
        <v>37388.400000000001</v>
      </c>
      <c r="K385" s="1916"/>
      <c r="L385" s="1917">
        <f t="shared" ref="L385" si="490">L421+L457+L493+L529</f>
        <v>36456.199999999997</v>
      </c>
      <c r="M385" s="1916"/>
      <c r="N385" s="1917">
        <f t="shared" ref="N385" si="491">N421+N457+N493+N529</f>
        <v>36456.199999999997</v>
      </c>
      <c r="O385" s="1916"/>
      <c r="P385" s="1918">
        <f t="shared" ref="P385" si="492">P421+P457+P493+P529</f>
        <v>36456.199999999997</v>
      </c>
      <c r="Q385" s="1916"/>
      <c r="R385" s="1919">
        <f t="shared" ref="R385" si="493">R421+R457+R493+R529</f>
        <v>36560.979999999996</v>
      </c>
      <c r="S385" s="1864"/>
      <c r="T385" s="3191">
        <f t="shared" ref="T385:T388" si="494">(((N385/B385)^(1/6)-1))</f>
        <v>-1.1850814512623931E-3</v>
      </c>
      <c r="U385" s="77"/>
      <c r="V385" s="78">
        <f t="shared" ref="V385:V394" si="495">(P385-N385)/N385</f>
        <v>0</v>
      </c>
      <c r="W385" s="77"/>
      <c r="X385" s="3192">
        <f t="shared" ref="X385:X394" si="496">(R385-P385)/P385</f>
        <v>2.8741338921774305E-3</v>
      </c>
    </row>
    <row r="386" spans="1:24" s="1843" customFormat="1">
      <c r="A386" s="1850" t="s">
        <v>17</v>
      </c>
      <c r="B386" s="1901">
        <f>B422+B458+B494+B530</f>
        <v>11627.800000000001</v>
      </c>
      <c r="C386" s="1916"/>
      <c r="D386" s="1917">
        <f t="shared" si="486"/>
        <v>11781.1</v>
      </c>
      <c r="E386" s="1916"/>
      <c r="F386" s="1917">
        <f t="shared" ref="F386" si="497">F422+F458+F494+F530</f>
        <v>12314.9</v>
      </c>
      <c r="G386" s="1916"/>
      <c r="H386" s="1917">
        <f t="shared" ref="H386" si="498">H422+H458+H494+H530</f>
        <v>12645.4</v>
      </c>
      <c r="I386" s="1916"/>
      <c r="J386" s="1917">
        <f t="shared" ref="J386" si="499">J422+J458+J494+J530</f>
        <v>13385.800000000001</v>
      </c>
      <c r="K386" s="1916"/>
      <c r="L386" s="1917">
        <f t="shared" ref="L386" si="500">L422+L458+L494+L530</f>
        <v>14613.26</v>
      </c>
      <c r="M386" s="1916"/>
      <c r="N386" s="1917">
        <f t="shared" ref="N386" si="501">N422+N458+N494+N530</f>
        <v>14613.26</v>
      </c>
      <c r="O386" s="1916"/>
      <c r="P386" s="1918">
        <f t="shared" ref="P386" si="502">P422+P458+P494+P530</f>
        <v>14613.26</v>
      </c>
      <c r="Q386" s="1916"/>
      <c r="R386" s="1919">
        <f t="shared" ref="R386" si="503">R422+R458+R494+R530</f>
        <v>14640.904</v>
      </c>
      <c r="S386" s="1864"/>
      <c r="T386" s="3191">
        <f t="shared" si="494"/>
        <v>3.8823087272460644E-2</v>
      </c>
      <c r="U386" s="77"/>
      <c r="V386" s="78">
        <f t="shared" si="495"/>
        <v>0</v>
      </c>
      <c r="W386" s="77"/>
      <c r="X386" s="3192">
        <f t="shared" si="496"/>
        <v>1.8917065733450463E-3</v>
      </c>
    </row>
    <row r="387" spans="1:24" s="1843" customFormat="1">
      <c r="A387" s="1850" t="s">
        <v>154</v>
      </c>
      <c r="B387" s="1901">
        <f t="shared" si="486"/>
        <v>0</v>
      </c>
      <c r="C387" s="1916"/>
      <c r="D387" s="1917">
        <f t="shared" si="486"/>
        <v>0</v>
      </c>
      <c r="E387" s="1916"/>
      <c r="F387" s="1917">
        <f t="shared" ref="F387" si="504">F423+F459+F495+F531</f>
        <v>0</v>
      </c>
      <c r="G387" s="1916"/>
      <c r="H387" s="1917">
        <f t="shared" ref="H387" si="505">H423+H459+H495+H531</f>
        <v>25</v>
      </c>
      <c r="I387" s="1916"/>
      <c r="J387" s="1917">
        <f t="shared" ref="J387" si="506">J423+J459+J495+J531</f>
        <v>0</v>
      </c>
      <c r="K387" s="1916"/>
      <c r="L387" s="1917">
        <f t="shared" ref="L387" si="507">L423+L459+L495+L531</f>
        <v>0</v>
      </c>
      <c r="M387" s="1916"/>
      <c r="N387" s="1917">
        <f t="shared" ref="N387" si="508">N423+N459+N495+N531</f>
        <v>0</v>
      </c>
      <c r="O387" s="1916"/>
      <c r="P387" s="1918">
        <f t="shared" ref="P387" si="509">P423+P459+P495+P531</f>
        <v>0</v>
      </c>
      <c r="Q387" s="1916"/>
      <c r="R387" s="1919">
        <f t="shared" ref="R387" si="510">R423+R459+R495+R531</f>
        <v>0</v>
      </c>
      <c r="S387" s="1864"/>
      <c r="T387" s="3191"/>
      <c r="U387" s="77"/>
      <c r="V387" s="78"/>
      <c r="W387" s="77"/>
      <c r="X387" s="3192"/>
    </row>
    <row r="388" spans="1:24" s="1843" customFormat="1">
      <c r="A388" s="1850" t="s">
        <v>21</v>
      </c>
      <c r="B388" s="1860">
        <f>SUM(B389:B391)</f>
        <v>7960.5000000000009</v>
      </c>
      <c r="C388" s="3065"/>
      <c r="D388" s="1862">
        <f>SUM(D389:D391)</f>
        <v>8005.7999999999993</v>
      </c>
      <c r="E388" s="1861"/>
      <c r="F388" s="1862">
        <f>SUM(F389:F391)</f>
        <v>8276.5</v>
      </c>
      <c r="G388" s="1861"/>
      <c r="H388" s="1862">
        <f>SUM(H389:H391)</f>
        <v>8605.5</v>
      </c>
      <c r="I388" s="1861"/>
      <c r="J388" s="1862">
        <f>SUM(J389:J391)</f>
        <v>8597</v>
      </c>
      <c r="K388" s="1861"/>
      <c r="L388" s="1862">
        <f>SUM(L389:L391)</f>
        <v>8543.73</v>
      </c>
      <c r="M388" s="1861"/>
      <c r="N388" s="1862">
        <f>SUM(N389:N391)</f>
        <v>8543.73</v>
      </c>
      <c r="O388" s="1861"/>
      <c r="P388" s="1862">
        <f>SUM(P389:P391)</f>
        <v>8543.73</v>
      </c>
      <c r="Q388" s="1861"/>
      <c r="R388" s="122">
        <f>SUM(R389:R391)</f>
        <v>8558.8559999999998</v>
      </c>
      <c r="S388" s="1864"/>
      <c r="T388" s="3197">
        <f t="shared" si="494"/>
        <v>1.185401999154001E-2</v>
      </c>
      <c r="U388" s="1480"/>
      <c r="V388" s="1479">
        <f t="shared" si="495"/>
        <v>0</v>
      </c>
      <c r="W388" s="1480"/>
      <c r="X388" s="3198">
        <f t="shared" si="496"/>
        <v>1.7704211158358473E-3</v>
      </c>
    </row>
    <row r="389" spans="1:24" s="1843" customFormat="1">
      <c r="A389" s="1850" t="s">
        <v>20</v>
      </c>
      <c r="B389" s="1901">
        <f t="shared" si="486"/>
        <v>2159.8000000000002</v>
      </c>
      <c r="C389" s="1916"/>
      <c r="D389" s="1917">
        <f t="shared" ref="D389" si="511">D425+D461+D497+D533</f>
        <v>2249.9</v>
      </c>
      <c r="E389" s="1916"/>
      <c r="F389" s="1917">
        <f t="shared" ref="F389" si="512">F425+F461+F497+F533</f>
        <v>2295.5999999999995</v>
      </c>
      <c r="G389" s="1916"/>
      <c r="H389" s="1917">
        <f t="shared" ref="H389" si="513">H425+H461+H497+H533</f>
        <v>2466.6000000000004</v>
      </c>
      <c r="I389" s="1916"/>
      <c r="J389" s="1917">
        <f t="shared" ref="J389" si="514">J425+J461+J497+J533</f>
        <v>2320.6999999999998</v>
      </c>
      <c r="K389" s="1916"/>
      <c r="L389" s="1917">
        <f t="shared" ref="L389" si="515">L425+L461+L497+L533</f>
        <v>2283.29</v>
      </c>
      <c r="M389" s="1916"/>
      <c r="N389" s="1917">
        <f t="shared" ref="N389" si="516">N425+N461+N497+N533</f>
        <v>2283.29</v>
      </c>
      <c r="O389" s="1916"/>
      <c r="P389" s="1918">
        <f t="shared" ref="P389" si="517">P425+P461+P497+P533</f>
        <v>2283.29</v>
      </c>
      <c r="Q389" s="1916"/>
      <c r="R389" s="1919">
        <f t="shared" ref="R389" si="518">R425+R461+R497+R533</f>
        <v>2293.3740000000003</v>
      </c>
      <c r="S389" s="1864"/>
      <c r="T389" s="3191">
        <f>(((N389/B389)^(1/6)-1))</f>
        <v>9.3100313027536519E-3</v>
      </c>
      <c r="U389" s="77"/>
      <c r="V389" s="78">
        <f t="shared" si="495"/>
        <v>0</v>
      </c>
      <c r="W389" s="77"/>
      <c r="X389" s="3192">
        <f t="shared" si="496"/>
        <v>4.4164341805028214E-3</v>
      </c>
    </row>
    <row r="390" spans="1:24" s="1843" customFormat="1">
      <c r="A390" s="1850" t="s">
        <v>17</v>
      </c>
      <c r="B390" s="1901">
        <f>B426+B462+B498+B534</f>
        <v>5800.7000000000007</v>
      </c>
      <c r="C390" s="1916"/>
      <c r="D390" s="1917">
        <f t="shared" ref="D390" si="519">D426+D462+D498+D534</f>
        <v>5755.9</v>
      </c>
      <c r="E390" s="1916"/>
      <c r="F390" s="1917">
        <f t="shared" ref="F390" si="520">F426+F462+F498+F534</f>
        <v>5980.9</v>
      </c>
      <c r="G390" s="1916"/>
      <c r="H390" s="1917">
        <f t="shared" ref="H390" si="521">H426+H462+H498+H534</f>
        <v>6138.9</v>
      </c>
      <c r="I390" s="1916"/>
      <c r="J390" s="1917">
        <f t="shared" ref="J390" si="522">J426+J462+J498+J534</f>
        <v>6276.3000000000011</v>
      </c>
      <c r="K390" s="1916"/>
      <c r="L390" s="1917">
        <f t="shared" ref="L390" si="523">L426+L462+L498+L534</f>
        <v>6260.44</v>
      </c>
      <c r="M390" s="1916"/>
      <c r="N390" s="1917">
        <f t="shared" ref="N390" si="524">N426+N462+N498+N534</f>
        <v>6260.44</v>
      </c>
      <c r="O390" s="1916"/>
      <c r="P390" s="1918">
        <f t="shared" ref="P390" si="525">P426+P462+P498+P534</f>
        <v>6260.44</v>
      </c>
      <c r="Q390" s="1916"/>
      <c r="R390" s="1919">
        <f t="shared" ref="R390" si="526">R426+R462+R498+R534</f>
        <v>6265.4819999999991</v>
      </c>
      <c r="S390" s="1864"/>
      <c r="T390" s="3191">
        <f t="shared" ref="T390:T394" si="527">(((N390/B390)^(1/6)-1))</f>
        <v>1.2793119028120747E-2</v>
      </c>
      <c r="U390" s="77"/>
      <c r="V390" s="78">
        <f t="shared" si="495"/>
        <v>0</v>
      </c>
      <c r="W390" s="77"/>
      <c r="X390" s="3192">
        <f t="shared" si="496"/>
        <v>8.0537470209753016E-4</v>
      </c>
    </row>
    <row r="391" spans="1:24" s="1843" customFormat="1">
      <c r="A391" s="1850" t="s">
        <v>154</v>
      </c>
      <c r="B391" s="1901">
        <f t="shared" ref="B391:D393" si="528">B427+B463+B499+B535</f>
        <v>0</v>
      </c>
      <c r="C391" s="1916"/>
      <c r="D391" s="1917">
        <f t="shared" si="528"/>
        <v>0</v>
      </c>
      <c r="E391" s="1916"/>
      <c r="F391" s="1917">
        <f t="shared" ref="F391" si="529">F427+F463+F499+F535</f>
        <v>0</v>
      </c>
      <c r="G391" s="1916"/>
      <c r="H391" s="1917">
        <f t="shared" ref="H391" si="530">H427+H463+H499+H535</f>
        <v>0</v>
      </c>
      <c r="I391" s="1916"/>
      <c r="J391" s="1917">
        <f t="shared" ref="J391" si="531">J427+J463+J499+J535</f>
        <v>0</v>
      </c>
      <c r="K391" s="1916"/>
      <c r="L391" s="1917">
        <f t="shared" ref="L391" si="532">L427+L463+L499+L535</f>
        <v>0</v>
      </c>
      <c r="M391" s="1916"/>
      <c r="N391" s="1917">
        <f t="shared" ref="N391" si="533">N427+N463+N499+N535</f>
        <v>0</v>
      </c>
      <c r="O391" s="1916"/>
      <c r="P391" s="1918">
        <f t="shared" ref="P391" si="534">P427+P463+P499+P535</f>
        <v>0</v>
      </c>
      <c r="Q391" s="1916"/>
      <c r="R391" s="1919">
        <f t="shared" ref="R391" si="535">R427+R463+R499+R535</f>
        <v>0</v>
      </c>
      <c r="S391" s="1864"/>
      <c r="T391" s="3191"/>
      <c r="U391" s="77"/>
      <c r="V391" s="78"/>
      <c r="W391" s="77"/>
      <c r="X391" s="3192"/>
    </row>
    <row r="392" spans="1:24" s="1843" customFormat="1">
      <c r="A392" s="1907" t="s">
        <v>22</v>
      </c>
      <c r="B392" s="1860">
        <f>SUM(B393:B395)</f>
        <v>1388.3999999999999</v>
      </c>
      <c r="C392" s="3065"/>
      <c r="D392" s="1862">
        <f>SUM(D393:D395)</f>
        <v>1407.4</v>
      </c>
      <c r="E392" s="1861"/>
      <c r="F392" s="1862">
        <f>SUM(F393:F395)</f>
        <v>1379.9</v>
      </c>
      <c r="G392" s="1861"/>
      <c r="H392" s="1862">
        <f>SUM(H393:H395)</f>
        <v>1432.1</v>
      </c>
      <c r="I392" s="1861"/>
      <c r="J392" s="1862">
        <f>SUM(J393:J395)</f>
        <v>1459.9</v>
      </c>
      <c r="K392" s="1861"/>
      <c r="L392" s="1862">
        <f>SUM(L393:L395)</f>
        <v>1445</v>
      </c>
      <c r="M392" s="1861"/>
      <c r="N392" s="1862">
        <f>SUM(N393:N395)</f>
        <v>1445</v>
      </c>
      <c r="O392" s="1861"/>
      <c r="P392" s="1862">
        <f>SUM(P393:P395)</f>
        <v>1445</v>
      </c>
      <c r="Q392" s="1861"/>
      <c r="R392" s="122">
        <f>SUM(R393:R395)</f>
        <v>1445</v>
      </c>
      <c r="S392" s="1864"/>
      <c r="T392" s="3197">
        <f t="shared" si="527"/>
        <v>6.6817768881581863E-3</v>
      </c>
      <c r="U392" s="1480"/>
      <c r="V392" s="1479">
        <f t="shared" si="495"/>
        <v>0</v>
      </c>
      <c r="W392" s="1480"/>
      <c r="X392" s="3198">
        <f t="shared" si="496"/>
        <v>0</v>
      </c>
    </row>
    <row r="393" spans="1:24" s="1843" customFormat="1">
      <c r="A393" s="1850" t="s">
        <v>20</v>
      </c>
      <c r="B393" s="1901">
        <f t="shared" si="528"/>
        <v>1030.0999999999999</v>
      </c>
      <c r="C393" s="1916"/>
      <c r="D393" s="1920">
        <f t="shared" ref="D393" si="536">D429+D465+D501+D537</f>
        <v>1009.6</v>
      </c>
      <c r="E393" s="1916"/>
      <c r="F393" s="1920">
        <f t="shared" ref="F393" si="537">F429+F465+F501+F537</f>
        <v>982.1</v>
      </c>
      <c r="G393" s="1916"/>
      <c r="H393" s="1920">
        <f t="shared" ref="H393" si="538">H429+H465+H501+H537</f>
        <v>1011.3</v>
      </c>
      <c r="I393" s="1916"/>
      <c r="J393" s="1920">
        <f t="shared" ref="J393" si="539">J429+J465+J501+J537</f>
        <v>1028.9000000000001</v>
      </c>
      <c r="K393" s="1916"/>
      <c r="L393" s="1917">
        <f t="shared" ref="L393" si="540">L429+L465+L501+L537</f>
        <v>1013.9</v>
      </c>
      <c r="M393" s="1916"/>
      <c r="N393" s="1917">
        <f t="shared" ref="N393" si="541">N429+N465+N501+N537</f>
        <v>1013.9</v>
      </c>
      <c r="O393" s="1916"/>
      <c r="P393" s="1918">
        <f t="shared" ref="P393" si="542">P429+P465+P501+P537</f>
        <v>1013.9</v>
      </c>
      <c r="Q393" s="1916"/>
      <c r="R393" s="1919">
        <f t="shared" ref="R393" si="543">R429+R465+R501+R537</f>
        <v>1013.9</v>
      </c>
      <c r="S393" s="1864"/>
      <c r="T393" s="3191">
        <f t="shared" si="527"/>
        <v>-2.6384471522586939E-3</v>
      </c>
      <c r="U393" s="77"/>
      <c r="V393" s="78">
        <f t="shared" si="495"/>
        <v>0</v>
      </c>
      <c r="W393" s="77"/>
      <c r="X393" s="3192">
        <f t="shared" si="496"/>
        <v>0</v>
      </c>
    </row>
    <row r="394" spans="1:24" s="1843" customFormat="1">
      <c r="A394" s="1850" t="s">
        <v>17</v>
      </c>
      <c r="B394" s="1901">
        <f>B430+B466+B502+B538</f>
        <v>358.3</v>
      </c>
      <c r="C394" s="1916"/>
      <c r="D394" s="1920">
        <f t="shared" ref="D394" si="544">D430+D466+D502+D538</f>
        <v>397.8</v>
      </c>
      <c r="E394" s="1916"/>
      <c r="F394" s="1920">
        <f t="shared" ref="F394" si="545">F430+F466+F502+F538</f>
        <v>397.8</v>
      </c>
      <c r="G394" s="1916"/>
      <c r="H394" s="1920">
        <f t="shared" ref="H394" si="546">H430+H466+H502+H538</f>
        <v>420.8</v>
      </c>
      <c r="I394" s="1916"/>
      <c r="J394" s="1920">
        <f t="shared" ref="J394" si="547">J430+J466+J502+J538</f>
        <v>431</v>
      </c>
      <c r="K394" s="1916"/>
      <c r="L394" s="1917">
        <f t="shared" ref="L394" si="548">L430+L466+L502+L538</f>
        <v>431.1</v>
      </c>
      <c r="M394" s="1916"/>
      <c r="N394" s="1917">
        <f t="shared" ref="N394" si="549">N430+N466+N502+N538</f>
        <v>431.1</v>
      </c>
      <c r="O394" s="1916"/>
      <c r="P394" s="1918">
        <f t="shared" ref="P394" si="550">P430+P466+P502+P538</f>
        <v>431.1</v>
      </c>
      <c r="Q394" s="1916"/>
      <c r="R394" s="1919">
        <f t="shared" ref="R394" si="551">R430+R466+R502+R538</f>
        <v>431.1</v>
      </c>
      <c r="S394" s="1864"/>
      <c r="T394" s="3191">
        <f t="shared" si="527"/>
        <v>3.1308354148732009E-2</v>
      </c>
      <c r="U394" s="77"/>
      <c r="V394" s="78">
        <f t="shared" si="495"/>
        <v>0</v>
      </c>
      <c r="W394" s="77"/>
      <c r="X394" s="3192">
        <f t="shared" si="496"/>
        <v>0</v>
      </c>
    </row>
    <row r="395" spans="1:24" s="1843" customFormat="1" ht="13.8" thickBot="1">
      <c r="A395" s="102" t="s">
        <v>154</v>
      </c>
      <c r="B395" s="1773">
        <f t="shared" ref="B395:D395" si="552">B431+B467+B503+B539</f>
        <v>0</v>
      </c>
      <c r="C395" s="1921"/>
      <c r="D395" s="1922">
        <f t="shared" si="552"/>
        <v>0</v>
      </c>
      <c r="E395" s="1921"/>
      <c r="F395" s="1922">
        <f t="shared" ref="F395" si="553">F431+F467+F503+F539</f>
        <v>0</v>
      </c>
      <c r="G395" s="1921"/>
      <c r="H395" s="1922">
        <f t="shared" ref="H395" si="554">H431+H467+H503+H539</f>
        <v>0</v>
      </c>
      <c r="I395" s="1921"/>
      <c r="J395" s="1922">
        <f t="shared" ref="J395" si="555">J431+J467+J503+J539</f>
        <v>0</v>
      </c>
      <c r="K395" s="1921"/>
      <c r="L395" s="1923">
        <f t="shared" ref="L395" si="556">L431+L467+L503+L539</f>
        <v>0</v>
      </c>
      <c r="M395" s="1921"/>
      <c r="N395" s="1923">
        <f t="shared" ref="N395" si="557">N431+N467+N503+N539</f>
        <v>0</v>
      </c>
      <c r="O395" s="1921"/>
      <c r="P395" s="1924">
        <f t="shared" ref="P395" si="558">P431+P467+P503+P539</f>
        <v>0</v>
      </c>
      <c r="Q395" s="1921"/>
      <c r="R395" s="1925">
        <f t="shared" ref="R395" si="559">R431+R467+R503+R539</f>
        <v>0</v>
      </c>
      <c r="S395" s="1866"/>
      <c r="T395" s="3193"/>
      <c r="U395" s="3194"/>
      <c r="V395" s="3195"/>
      <c r="W395" s="3194"/>
      <c r="X395" s="3196"/>
    </row>
    <row r="396" spans="1:24" s="1843" customFormat="1" ht="13.8" thickTop="1">
      <c r="A396" s="1926" t="s">
        <v>25</v>
      </c>
      <c r="B396" s="123">
        <f>B384+B388+B392</f>
        <v>57693.200000000004</v>
      </c>
      <c r="C396" s="124"/>
      <c r="D396" s="1869">
        <f>D384+D388+D392</f>
        <v>58205.4</v>
      </c>
      <c r="E396" s="124"/>
      <c r="F396" s="1869">
        <f>F384+F388+F392</f>
        <v>59133.100000000006</v>
      </c>
      <c r="G396" s="124"/>
      <c r="H396" s="1869">
        <f>H384+H388+H392</f>
        <v>60686.600000000006</v>
      </c>
      <c r="I396" s="124"/>
      <c r="J396" s="1869">
        <f>J384+J388+J392</f>
        <v>60831.100000000006</v>
      </c>
      <c r="K396" s="124"/>
      <c r="L396" s="1869">
        <f>L384+L388+L392</f>
        <v>61058.19</v>
      </c>
      <c r="M396" s="124"/>
      <c r="N396" s="1869">
        <f>N384+N388+N392</f>
        <v>61058.19</v>
      </c>
      <c r="O396" s="124"/>
      <c r="P396" s="1862">
        <f>P384+P388+P392</f>
        <v>61058.19</v>
      </c>
      <c r="Q396" s="124"/>
      <c r="R396" s="122">
        <f>R384+R388+R392</f>
        <v>61205.74</v>
      </c>
      <c r="S396" s="124"/>
      <c r="T396" s="3197">
        <f t="shared" ref="T396" si="560">(((N396/B396)^(1/6)-1))</f>
        <v>9.4927780044231636E-3</v>
      </c>
      <c r="U396" s="1480"/>
      <c r="V396" s="1479">
        <f t="shared" ref="V396" si="561">(P396-N396)/N396</f>
        <v>0</v>
      </c>
      <c r="W396" s="1480"/>
      <c r="X396" s="3198">
        <f t="shared" ref="X396" si="562">(R396-P396)/P396</f>
        <v>2.416547231419661E-3</v>
      </c>
    </row>
    <row r="397" spans="1:24" s="1843" customFormat="1" ht="8.25" customHeight="1" thickBot="1">
      <c r="A397" s="1915"/>
      <c r="B397" s="126"/>
      <c r="C397" s="3068"/>
      <c r="D397" s="1864"/>
      <c r="E397" s="1864"/>
      <c r="F397" s="1864"/>
      <c r="G397" s="1864"/>
      <c r="H397" s="1864"/>
      <c r="I397" s="1864"/>
      <c r="J397" s="1864"/>
      <c r="K397" s="1864"/>
      <c r="L397" s="1864"/>
      <c r="M397" s="1864"/>
      <c r="N397" s="1864"/>
      <c r="O397" s="1864"/>
      <c r="P397" s="1861"/>
      <c r="Q397" s="1864"/>
      <c r="R397" s="127"/>
      <c r="S397" s="1864"/>
      <c r="T397" s="84"/>
      <c r="U397" s="34"/>
      <c r="V397" s="34"/>
      <c r="W397" s="34"/>
      <c r="X397" s="42"/>
    </row>
    <row r="398" spans="1:24" s="1843" customFormat="1">
      <c r="A398" s="1898" t="s">
        <v>78</v>
      </c>
      <c r="B398" s="115"/>
      <c r="C398" s="3073"/>
      <c r="D398" s="116"/>
      <c r="E398" s="1867"/>
      <c r="F398" s="116"/>
      <c r="G398" s="1867"/>
      <c r="H398" s="117"/>
      <c r="I398" s="1867"/>
      <c r="J398" s="117"/>
      <c r="K398" s="1867"/>
      <c r="L398" s="117"/>
      <c r="M398" s="1867"/>
      <c r="N398" s="117"/>
      <c r="O398" s="1867"/>
      <c r="P398" s="118"/>
      <c r="Q398" s="1867"/>
      <c r="R398" s="119"/>
      <c r="S398" s="1867"/>
      <c r="T398" s="86"/>
      <c r="U398" s="45"/>
      <c r="V398" s="47"/>
      <c r="W398" s="45"/>
      <c r="X398" s="85"/>
    </row>
    <row r="399" spans="1:24" s="1843" customFormat="1">
      <c r="A399" s="1907" t="s">
        <v>79</v>
      </c>
      <c r="B399" s="1901">
        <f t="shared" ref="B399:D400" si="563">B435+B471+B507+B543</f>
        <v>390</v>
      </c>
      <c r="C399" s="1933"/>
      <c r="D399" s="1934">
        <f t="shared" si="563"/>
        <v>781</v>
      </c>
      <c r="E399" s="1933"/>
      <c r="F399" s="1934">
        <f t="shared" ref="F399" si="564">F435+F471+F507+F543</f>
        <v>1665</v>
      </c>
      <c r="G399" s="1933"/>
      <c r="H399" s="1935">
        <f t="shared" ref="H399" si="565">H435+H471+H507+H543</f>
        <v>3273</v>
      </c>
      <c r="I399" s="1933"/>
      <c r="J399" s="1935">
        <f t="shared" ref="J399" si="566">J435+J471+J507+J543</f>
        <v>3956</v>
      </c>
      <c r="K399" s="1900"/>
      <c r="L399" s="1927">
        <f t="shared" ref="L399" si="567">L435+L471+L507+L543</f>
        <v>6328</v>
      </c>
      <c r="M399" s="1861"/>
      <c r="N399" s="1936">
        <f t="shared" ref="N399" si="568">N435+N471+N507+N543</f>
        <v>6328</v>
      </c>
      <c r="O399" s="216"/>
      <c r="P399" s="1938">
        <f t="shared" ref="P399" si="569">P435+P471+P507+P543</f>
        <v>6328</v>
      </c>
      <c r="Q399" s="216"/>
      <c r="R399" s="1940">
        <f t="shared" ref="R399" si="570">R435+R471+R507+R543</f>
        <v>6340.96</v>
      </c>
      <c r="S399" s="1861"/>
      <c r="T399" s="3191">
        <f t="shared" ref="T399:T400" si="571">(((N399/B399)^(1/6)-1))</f>
        <v>0.59111038586854292</v>
      </c>
      <c r="U399" s="77"/>
      <c r="V399" s="78">
        <f t="shared" ref="V399:V400" si="572">(P399-N399)/N399</f>
        <v>0</v>
      </c>
      <c r="W399" s="77"/>
      <c r="X399" s="3192">
        <f t="shared" ref="X399:X400" si="573">(R399-P399)/P399</f>
        <v>2.0480404551201071E-3</v>
      </c>
    </row>
    <row r="400" spans="1:24" s="1843" customFormat="1" ht="13.8" thickBot="1">
      <c r="A400" s="1928" t="s">
        <v>80</v>
      </c>
      <c r="B400" s="1942">
        <f t="shared" si="563"/>
        <v>71.400000000000006</v>
      </c>
      <c r="C400" s="1929"/>
      <c r="D400" s="1930">
        <f t="shared" si="563"/>
        <v>133.69999999999999</v>
      </c>
      <c r="E400" s="1929"/>
      <c r="F400" s="1930">
        <f t="shared" ref="F400" si="574">F436+F472+F508+F544</f>
        <v>290.09999999999997</v>
      </c>
      <c r="G400" s="1929"/>
      <c r="H400" s="1931">
        <f t="shared" ref="H400" si="575">H436+H472+H508+H544</f>
        <v>571.09999999999991</v>
      </c>
      <c r="I400" s="1929"/>
      <c r="J400" s="1931">
        <f t="shared" ref="J400" si="576">J436+J472+J508+J544</f>
        <v>826.1</v>
      </c>
      <c r="K400" s="1932"/>
      <c r="L400" s="1931">
        <f t="shared" ref="L400" si="577">L436+L472+L508+L544</f>
        <v>1312</v>
      </c>
      <c r="M400" s="97"/>
      <c r="N400" s="1937">
        <f t="shared" ref="N400" si="578">N436+N472+N508+N544</f>
        <v>1312</v>
      </c>
      <c r="O400" s="220"/>
      <c r="P400" s="1939">
        <f t="shared" ref="P400" si="579">P436+P472+P508+P544</f>
        <v>1312</v>
      </c>
      <c r="Q400" s="220"/>
      <c r="R400" s="1941">
        <f t="shared" ref="R400" si="580">R436+R472+R508+R544</f>
        <v>1314.0659999999998</v>
      </c>
      <c r="S400" s="97"/>
      <c r="T400" s="3191">
        <f t="shared" si="571"/>
        <v>0.62444846176712998</v>
      </c>
      <c r="U400" s="77"/>
      <c r="V400" s="78">
        <f t="shared" si="572"/>
        <v>0</v>
      </c>
      <c r="W400" s="77"/>
      <c r="X400" s="3192">
        <f t="shared" si="573"/>
        <v>1.5746951219510698E-3</v>
      </c>
    </row>
    <row r="401" spans="1:24" s="1586" customFormat="1" ht="13.8" thickBot="1">
      <c r="A401" s="111"/>
      <c r="B401" s="112"/>
      <c r="C401" s="112"/>
      <c r="D401" s="112"/>
      <c r="E401" s="112"/>
      <c r="F401" s="113"/>
      <c r="G401" s="112"/>
      <c r="H401" s="112"/>
      <c r="I401" s="112"/>
      <c r="J401" s="112"/>
      <c r="K401" s="112"/>
      <c r="L401" s="112"/>
      <c r="M401" s="112"/>
      <c r="N401" s="112"/>
      <c r="O401" s="112"/>
      <c r="P401" s="112"/>
      <c r="Q401" s="112"/>
      <c r="R401" s="112"/>
      <c r="S401" s="112"/>
      <c r="T401" s="112"/>
      <c r="U401" s="112"/>
      <c r="V401" s="112"/>
      <c r="W401" s="112"/>
      <c r="X401" s="112"/>
    </row>
    <row r="402" spans="1:24" s="1587" customFormat="1">
      <c r="A402" s="114" t="s">
        <v>201</v>
      </c>
      <c r="B402" s="1605" t="s">
        <v>13</v>
      </c>
      <c r="C402" s="3051"/>
      <c r="D402" s="1607" t="s">
        <v>13</v>
      </c>
      <c r="E402" s="1606"/>
      <c r="F402" s="1608" t="s">
        <v>13</v>
      </c>
      <c r="G402" s="1606"/>
      <c r="H402" s="1608" t="s">
        <v>13</v>
      </c>
      <c r="I402" s="1606"/>
      <c r="J402" s="1608" t="s">
        <v>13</v>
      </c>
      <c r="K402" s="1606"/>
      <c r="L402" s="1609" t="s">
        <v>14</v>
      </c>
      <c r="M402" s="1606"/>
      <c r="N402" s="1609" t="s">
        <v>15</v>
      </c>
      <c r="O402" s="1606"/>
      <c r="P402" s="1610" t="s">
        <v>16</v>
      </c>
      <c r="Q402" s="1606"/>
      <c r="R402" s="1611" t="s">
        <v>16</v>
      </c>
      <c r="S402" s="1606"/>
      <c r="T402" s="1612" t="s">
        <v>62</v>
      </c>
      <c r="U402" s="1613"/>
      <c r="V402" s="1614" t="s">
        <v>75</v>
      </c>
      <c r="W402" s="1613"/>
      <c r="X402" s="1615" t="s">
        <v>75</v>
      </c>
    </row>
    <row r="403" spans="1:24" s="1587" customFormat="1" ht="13.8" thickBot="1">
      <c r="A403" s="1616"/>
      <c r="B403" s="1617" t="s">
        <v>3</v>
      </c>
      <c r="C403" s="3053"/>
      <c r="D403" s="1619" t="s">
        <v>4</v>
      </c>
      <c r="E403" s="1618"/>
      <c r="F403" s="1620" t="s">
        <v>5</v>
      </c>
      <c r="G403" s="1618"/>
      <c r="H403" s="1621" t="s">
        <v>6</v>
      </c>
      <c r="I403" s="1618"/>
      <c r="J403" s="1621" t="s">
        <v>7</v>
      </c>
      <c r="K403" s="1618"/>
      <c r="L403" s="1621" t="s">
        <v>8</v>
      </c>
      <c r="M403" s="1618"/>
      <c r="N403" s="1621" t="s">
        <v>9</v>
      </c>
      <c r="O403" s="1618"/>
      <c r="P403" s="1622" t="s">
        <v>10</v>
      </c>
      <c r="Q403" s="1618"/>
      <c r="R403" s="1623" t="s">
        <v>11</v>
      </c>
      <c r="S403" s="1618"/>
      <c r="T403" s="1624" t="s">
        <v>63</v>
      </c>
      <c r="U403" s="1625"/>
      <c r="V403" s="1626" t="s">
        <v>76</v>
      </c>
      <c r="W403" s="1625"/>
      <c r="X403" s="1627" t="s">
        <v>77</v>
      </c>
    </row>
    <row r="404" spans="1:24" s="1586" customFormat="1">
      <c r="A404" s="1657" t="s">
        <v>81</v>
      </c>
      <c r="B404" s="115"/>
      <c r="C404" s="3073"/>
      <c r="D404" s="116"/>
      <c r="E404" s="1600"/>
      <c r="F404" s="116"/>
      <c r="G404" s="1600"/>
      <c r="H404" s="117"/>
      <c r="I404" s="1600"/>
      <c r="J404" s="117"/>
      <c r="K404" s="1600"/>
      <c r="L404" s="117"/>
      <c r="M404" s="1600"/>
      <c r="N404" s="117"/>
      <c r="O404" s="1600"/>
      <c r="P404" s="118"/>
      <c r="Q404" s="1600"/>
      <c r="R404" s="119"/>
      <c r="S404" s="1600"/>
      <c r="T404" s="120"/>
      <c r="U404" s="1600"/>
      <c r="V404" s="117"/>
      <c r="W404" s="1600"/>
      <c r="X404" s="121"/>
    </row>
    <row r="405" spans="1:24" s="1586" customFormat="1">
      <c r="A405" s="1658" t="s">
        <v>19</v>
      </c>
      <c r="B405" s="1595">
        <f>SUM(B406:B408)</f>
        <v>33602</v>
      </c>
      <c r="C405" s="3065"/>
      <c r="D405" s="1597">
        <f>SUM(D406:D408)</f>
        <v>33663</v>
      </c>
      <c r="E405" s="1596"/>
      <c r="F405" s="1597">
        <f>SUM(F406:F408)</f>
        <v>33972</v>
      </c>
      <c r="G405" s="1596"/>
      <c r="H405" s="1597">
        <f>SUM(H406:H408)</f>
        <v>33132</v>
      </c>
      <c r="I405" s="1596"/>
      <c r="J405" s="1597">
        <f>SUM(J406:J408)</f>
        <v>32900</v>
      </c>
      <c r="K405" s="1596"/>
      <c r="L405" s="1597">
        <f>SUM(L406:L408)</f>
        <v>32538</v>
      </c>
      <c r="M405" s="1596"/>
      <c r="N405" s="1597">
        <f>SUM(N406:N408)</f>
        <v>32538</v>
      </c>
      <c r="O405" s="1596"/>
      <c r="P405" s="1597">
        <f>SUM(P406:P408)</f>
        <v>32538</v>
      </c>
      <c r="Q405" s="1596"/>
      <c r="R405" s="122">
        <f>SUM(R406:R408)</f>
        <v>32538</v>
      </c>
      <c r="S405" s="1596"/>
      <c r="T405" s="3188">
        <f>(((N405/B405)^(1/6)-1))</f>
        <v>-5.348471043621017E-3</v>
      </c>
      <c r="U405" s="25"/>
      <c r="V405" s="3189">
        <f>(P405-N405)/N405</f>
        <v>0</v>
      </c>
      <c r="W405" s="25"/>
      <c r="X405" s="3190">
        <f>(R405-P405)/P405</f>
        <v>0</v>
      </c>
    </row>
    <row r="406" spans="1:24" s="1586" customFormat="1">
      <c r="A406" s="1658" t="s">
        <v>20</v>
      </c>
      <c r="B406" s="1659">
        <v>22419</v>
      </c>
      <c r="C406" s="3101"/>
      <c r="D406" s="1679">
        <v>22463</v>
      </c>
      <c r="E406" s="1660"/>
      <c r="F406" s="1679">
        <v>22223</v>
      </c>
      <c r="G406" s="1660"/>
      <c r="H406" s="1679">
        <v>21241</v>
      </c>
      <c r="I406" s="1660"/>
      <c r="J406" s="1679">
        <v>20549</v>
      </c>
      <c r="K406" s="1680"/>
      <c r="L406" s="1679">
        <v>19330</v>
      </c>
      <c r="M406" s="1680"/>
      <c r="N406" s="1679">
        <v>19330</v>
      </c>
      <c r="O406" s="1680"/>
      <c r="P406" s="1679">
        <v>19330</v>
      </c>
      <c r="Q406" s="1680"/>
      <c r="R406" s="1645">
        <v>19330</v>
      </c>
      <c r="S406" s="1598"/>
      <c r="T406" s="3191">
        <f t="shared" ref="T406:T409" si="581">(((N406/B406)^(1/6)-1))</f>
        <v>-2.4405665707994961E-2</v>
      </c>
      <c r="U406" s="77"/>
      <c r="V406" s="78">
        <f t="shared" ref="V406:V417" si="582">(P406-N406)/N406</f>
        <v>0</v>
      </c>
      <c r="W406" s="77"/>
      <c r="X406" s="3192">
        <f t="shared" ref="X406:X417" si="583">(R406-P406)/P406</f>
        <v>0</v>
      </c>
    </row>
    <row r="407" spans="1:24" s="1586" customFormat="1">
      <c r="A407" s="1658" t="s">
        <v>17</v>
      </c>
      <c r="B407" s="1659">
        <v>11183</v>
      </c>
      <c r="C407" s="3101"/>
      <c r="D407" s="1679">
        <v>11200</v>
      </c>
      <c r="E407" s="1660"/>
      <c r="F407" s="1679">
        <v>11749</v>
      </c>
      <c r="G407" s="1660"/>
      <c r="H407" s="1679">
        <v>11891</v>
      </c>
      <c r="I407" s="1660"/>
      <c r="J407" s="1679">
        <v>12351</v>
      </c>
      <c r="K407" s="1680"/>
      <c r="L407" s="1679">
        <v>13208</v>
      </c>
      <c r="M407" s="1680"/>
      <c r="N407" s="1679">
        <v>13208</v>
      </c>
      <c r="O407" s="1680"/>
      <c r="P407" s="1679">
        <v>13208</v>
      </c>
      <c r="Q407" s="1680"/>
      <c r="R407" s="1645">
        <v>13208</v>
      </c>
      <c r="S407" s="1598"/>
      <c r="T407" s="3191">
        <f t="shared" si="581"/>
        <v>2.8126269519625602E-2</v>
      </c>
      <c r="U407" s="77"/>
      <c r="V407" s="78">
        <f t="shared" si="582"/>
        <v>0</v>
      </c>
      <c r="W407" s="77"/>
      <c r="X407" s="3192">
        <f t="shared" si="583"/>
        <v>0</v>
      </c>
    </row>
    <row r="408" spans="1:24" s="1586" customFormat="1">
      <c r="A408" s="1658" t="s">
        <v>154</v>
      </c>
      <c r="B408" s="1659">
        <v>0</v>
      </c>
      <c r="C408" s="3101"/>
      <c r="D408" s="1679">
        <v>0</v>
      </c>
      <c r="E408" s="1660"/>
      <c r="F408" s="1679">
        <v>0</v>
      </c>
      <c r="G408" s="1660"/>
      <c r="H408" s="1679">
        <v>0</v>
      </c>
      <c r="I408" s="1660"/>
      <c r="J408" s="1679">
        <v>0</v>
      </c>
      <c r="K408" s="1680"/>
      <c r="L408" s="1679">
        <v>0</v>
      </c>
      <c r="M408" s="1680"/>
      <c r="N408" s="1679">
        <v>0</v>
      </c>
      <c r="O408" s="1680"/>
      <c r="P408" s="1679">
        <v>0</v>
      </c>
      <c r="Q408" s="1680"/>
      <c r="R408" s="1645">
        <v>0</v>
      </c>
      <c r="S408" s="1598"/>
      <c r="T408" s="3191"/>
      <c r="U408" s="77"/>
      <c r="V408" s="78"/>
      <c r="W408" s="77"/>
      <c r="X408" s="3192"/>
    </row>
    <row r="409" spans="1:24" s="1586" customFormat="1">
      <c r="A409" s="1658" t="s">
        <v>21</v>
      </c>
      <c r="B409" s="1595">
        <f>SUM(B410:B412)</f>
        <v>8510</v>
      </c>
      <c r="C409" s="3065"/>
      <c r="D409" s="1597">
        <f>SUM(D410:D412)</f>
        <v>8541</v>
      </c>
      <c r="E409" s="1596"/>
      <c r="F409" s="1597">
        <f>SUM(F410:F412)</f>
        <v>8886</v>
      </c>
      <c r="G409" s="1596"/>
      <c r="H409" s="1597">
        <f>SUM(H410:H412)</f>
        <v>9262</v>
      </c>
      <c r="I409" s="1596"/>
      <c r="J409" s="1597">
        <f>SUM(J410:J412)</f>
        <v>9303</v>
      </c>
      <c r="K409" s="1596"/>
      <c r="L409" s="1597">
        <f>SUM(L410:L412)</f>
        <v>9314</v>
      </c>
      <c r="M409" s="1596"/>
      <c r="N409" s="1597">
        <f>SUM(N410:N412)</f>
        <v>9314</v>
      </c>
      <c r="O409" s="1596"/>
      <c r="P409" s="1597">
        <f>SUM(P410:P412)</f>
        <v>9314</v>
      </c>
      <c r="Q409" s="1596"/>
      <c r="R409" s="122">
        <f>SUM(R410:R412)</f>
        <v>9314</v>
      </c>
      <c r="S409" s="1598"/>
      <c r="T409" s="3197">
        <f t="shared" si="581"/>
        <v>1.5159879660149977E-2</v>
      </c>
      <c r="U409" s="1480"/>
      <c r="V409" s="1479">
        <f t="shared" si="582"/>
        <v>0</v>
      </c>
      <c r="W409" s="1480"/>
      <c r="X409" s="3198">
        <f t="shared" si="583"/>
        <v>0</v>
      </c>
    </row>
    <row r="410" spans="1:24" s="1586" customFormat="1">
      <c r="A410" s="1658" t="s">
        <v>20</v>
      </c>
      <c r="B410" s="1659">
        <v>2213</v>
      </c>
      <c r="C410" s="3101"/>
      <c r="D410" s="1679">
        <v>2241</v>
      </c>
      <c r="E410" s="1660"/>
      <c r="F410" s="1679">
        <v>2238</v>
      </c>
      <c r="G410" s="1660"/>
      <c r="H410" s="1679">
        <v>2459</v>
      </c>
      <c r="I410" s="1660"/>
      <c r="J410" s="1679">
        <v>2212</v>
      </c>
      <c r="K410" s="1680"/>
      <c r="L410" s="1679">
        <v>2168</v>
      </c>
      <c r="M410" s="1680"/>
      <c r="N410" s="1679">
        <v>2168</v>
      </c>
      <c r="O410" s="1680"/>
      <c r="P410" s="1679">
        <v>2168</v>
      </c>
      <c r="Q410" s="1680"/>
      <c r="R410" s="1645">
        <v>2168</v>
      </c>
      <c r="S410" s="1598"/>
      <c r="T410" s="3191">
        <f>(((N410/B410)^(1/6)-1))</f>
        <v>-3.4181410580534921E-3</v>
      </c>
      <c r="U410" s="77"/>
      <c r="V410" s="78">
        <f t="shared" si="582"/>
        <v>0</v>
      </c>
      <c r="W410" s="77"/>
      <c r="X410" s="3192">
        <f t="shared" si="583"/>
        <v>0</v>
      </c>
    </row>
    <row r="411" spans="1:24" s="1586" customFormat="1">
      <c r="A411" s="1658" t="s">
        <v>17</v>
      </c>
      <c r="B411" s="1659">
        <v>6297</v>
      </c>
      <c r="C411" s="3101"/>
      <c r="D411" s="1679">
        <v>6300</v>
      </c>
      <c r="E411" s="1660"/>
      <c r="F411" s="1679">
        <v>6648</v>
      </c>
      <c r="G411" s="1660"/>
      <c r="H411" s="1679">
        <v>6803</v>
      </c>
      <c r="I411" s="1660"/>
      <c r="J411" s="1679">
        <v>7091</v>
      </c>
      <c r="K411" s="1680"/>
      <c r="L411" s="1679">
        <v>7146</v>
      </c>
      <c r="M411" s="1680"/>
      <c r="N411" s="1679">
        <v>7146</v>
      </c>
      <c r="O411" s="1680"/>
      <c r="P411" s="1679">
        <v>7146</v>
      </c>
      <c r="Q411" s="1680"/>
      <c r="R411" s="1645">
        <v>7146</v>
      </c>
      <c r="S411" s="1598"/>
      <c r="T411" s="3191">
        <f t="shared" ref="T411:T415" si="584">(((N411/B411)^(1/6)-1))</f>
        <v>2.130365566191017E-2</v>
      </c>
      <c r="U411" s="77"/>
      <c r="V411" s="78">
        <f t="shared" si="582"/>
        <v>0</v>
      </c>
      <c r="W411" s="77"/>
      <c r="X411" s="3192">
        <f t="shared" si="583"/>
        <v>0</v>
      </c>
    </row>
    <row r="412" spans="1:24" s="1586" customFormat="1">
      <c r="A412" s="1658" t="s">
        <v>154</v>
      </c>
      <c r="B412" s="1659">
        <v>0</v>
      </c>
      <c r="C412" s="3101"/>
      <c r="D412" s="1679">
        <v>0</v>
      </c>
      <c r="E412" s="1660"/>
      <c r="F412" s="1679">
        <v>0</v>
      </c>
      <c r="G412" s="1660"/>
      <c r="H412" s="1679">
        <v>0</v>
      </c>
      <c r="I412" s="1660"/>
      <c r="J412" s="1679">
        <v>0</v>
      </c>
      <c r="K412" s="1680"/>
      <c r="L412" s="1679">
        <v>0</v>
      </c>
      <c r="M412" s="1680"/>
      <c r="N412" s="1679">
        <v>0</v>
      </c>
      <c r="O412" s="1680"/>
      <c r="P412" s="1679">
        <v>0</v>
      </c>
      <c r="Q412" s="1680"/>
      <c r="R412" s="1645">
        <v>0</v>
      </c>
      <c r="S412" s="1598"/>
      <c r="T412" s="3191"/>
      <c r="U412" s="77"/>
      <c r="V412" s="78"/>
      <c r="W412" s="77"/>
      <c r="X412" s="3192"/>
    </row>
    <row r="413" spans="1:24" s="1586" customFormat="1">
      <c r="A413" s="1661" t="s">
        <v>22</v>
      </c>
      <c r="B413" s="1595">
        <f>SUM(B414:B416)</f>
        <v>994</v>
      </c>
      <c r="C413" s="3065"/>
      <c r="D413" s="1597">
        <f>SUM(D414:D416)</f>
        <v>1028</v>
      </c>
      <c r="E413" s="1596"/>
      <c r="F413" s="1597">
        <f>SUM(F414:F416)</f>
        <v>967</v>
      </c>
      <c r="G413" s="1596"/>
      <c r="H413" s="1597">
        <f>SUM(H414:H416)</f>
        <v>974</v>
      </c>
      <c r="I413" s="1596"/>
      <c r="J413" s="1597">
        <f>SUM(J414:J416)</f>
        <v>988</v>
      </c>
      <c r="K413" s="1596"/>
      <c r="L413" s="1597">
        <f>SUM(L414:L416)</f>
        <v>998</v>
      </c>
      <c r="M413" s="1596"/>
      <c r="N413" s="1597">
        <f>SUM(N414:N416)</f>
        <v>998</v>
      </c>
      <c r="O413" s="1596"/>
      <c r="P413" s="1597">
        <f>SUM(P414:P416)</f>
        <v>998</v>
      </c>
      <c r="Q413" s="1596"/>
      <c r="R413" s="122">
        <f>SUM(R414:R416)</f>
        <v>998</v>
      </c>
      <c r="S413" s="1598"/>
      <c r="T413" s="3197">
        <f t="shared" si="584"/>
        <v>6.6956900379633311E-4</v>
      </c>
      <c r="U413" s="1480"/>
      <c r="V413" s="1479">
        <f t="shared" si="582"/>
        <v>0</v>
      </c>
      <c r="W413" s="1480"/>
      <c r="X413" s="3198">
        <f t="shared" si="583"/>
        <v>0</v>
      </c>
    </row>
    <row r="414" spans="1:24" s="1586" customFormat="1">
      <c r="A414" s="1658" t="s">
        <v>20</v>
      </c>
      <c r="B414" s="1662">
        <v>723</v>
      </c>
      <c r="C414" s="3101"/>
      <c r="D414" s="1681">
        <v>718</v>
      </c>
      <c r="E414" s="1660"/>
      <c r="F414" s="1681">
        <v>695</v>
      </c>
      <c r="G414" s="1660"/>
      <c r="H414" s="1681">
        <v>695</v>
      </c>
      <c r="I414" s="1660"/>
      <c r="J414" s="1681">
        <v>705</v>
      </c>
      <c r="K414" s="1680"/>
      <c r="L414" s="1679">
        <v>709</v>
      </c>
      <c r="M414" s="1680"/>
      <c r="N414" s="1679">
        <v>709</v>
      </c>
      <c r="O414" s="1680"/>
      <c r="P414" s="1679">
        <v>709</v>
      </c>
      <c r="Q414" s="1680"/>
      <c r="R414" s="1645">
        <v>709</v>
      </c>
      <c r="S414" s="1598"/>
      <c r="T414" s="3191">
        <f t="shared" si="584"/>
        <v>-3.2536446599812363E-3</v>
      </c>
      <c r="U414" s="77"/>
      <c r="V414" s="78">
        <f t="shared" si="582"/>
        <v>0</v>
      </c>
      <c r="W414" s="77"/>
      <c r="X414" s="3192">
        <f t="shared" si="583"/>
        <v>0</v>
      </c>
    </row>
    <row r="415" spans="1:24" s="1586" customFormat="1">
      <c r="A415" s="1658" t="s">
        <v>17</v>
      </c>
      <c r="B415" s="1662">
        <v>271</v>
      </c>
      <c r="C415" s="3101"/>
      <c r="D415" s="1681">
        <v>310</v>
      </c>
      <c r="E415" s="1660"/>
      <c r="F415" s="1681">
        <v>272</v>
      </c>
      <c r="G415" s="1660"/>
      <c r="H415" s="1681">
        <v>279</v>
      </c>
      <c r="I415" s="1660"/>
      <c r="J415" s="1681">
        <v>283</v>
      </c>
      <c r="K415" s="1680"/>
      <c r="L415" s="1679">
        <v>289</v>
      </c>
      <c r="M415" s="1680"/>
      <c r="N415" s="1679">
        <v>289</v>
      </c>
      <c r="O415" s="1680"/>
      <c r="P415" s="1679">
        <v>289</v>
      </c>
      <c r="Q415" s="1680"/>
      <c r="R415" s="1645">
        <v>289</v>
      </c>
      <c r="S415" s="1598"/>
      <c r="T415" s="3191">
        <f t="shared" si="584"/>
        <v>1.0775621152687931E-2</v>
      </c>
      <c r="U415" s="77"/>
      <c r="V415" s="78">
        <f t="shared" si="582"/>
        <v>0</v>
      </c>
      <c r="W415" s="77"/>
      <c r="X415" s="3192">
        <f t="shared" si="583"/>
        <v>0</v>
      </c>
    </row>
    <row r="416" spans="1:24" s="1586" customFormat="1" ht="13.8" thickBot="1">
      <c r="A416" s="1641" t="s">
        <v>154</v>
      </c>
      <c r="B416" s="1650">
        <v>0</v>
      </c>
      <c r="C416" s="1651"/>
      <c r="D416" s="1647">
        <v>0</v>
      </c>
      <c r="E416" s="1651"/>
      <c r="F416" s="1647">
        <v>0</v>
      </c>
      <c r="G416" s="1651"/>
      <c r="H416" s="1647">
        <v>0</v>
      </c>
      <c r="I416" s="1651"/>
      <c r="J416" s="1647">
        <v>0</v>
      </c>
      <c r="K416" s="1643"/>
      <c r="L416" s="1647">
        <v>0</v>
      </c>
      <c r="M416" s="1643"/>
      <c r="N416" s="1647">
        <v>0</v>
      </c>
      <c r="O416" s="1643"/>
      <c r="P416" s="1647">
        <v>0</v>
      </c>
      <c r="Q416" s="1643"/>
      <c r="R416" s="1644">
        <v>0</v>
      </c>
      <c r="S416" s="1599"/>
      <c r="T416" s="3193"/>
      <c r="U416" s="3194"/>
      <c r="V416" s="3195"/>
      <c r="W416" s="3194"/>
      <c r="X416" s="3196"/>
    </row>
    <row r="417" spans="1:24" s="1586" customFormat="1">
      <c r="A417" s="1669" t="s">
        <v>23</v>
      </c>
      <c r="B417" s="123">
        <f>B405+B409+B413</f>
        <v>43106</v>
      </c>
      <c r="C417" s="124"/>
      <c r="D417" s="1601">
        <f>D405+D409+D413</f>
        <v>43232</v>
      </c>
      <c r="E417" s="124"/>
      <c r="F417" s="1601">
        <f>F405+F409+F413</f>
        <v>43825</v>
      </c>
      <c r="G417" s="124"/>
      <c r="H417" s="1601">
        <f>H405+H409+H413</f>
        <v>43368</v>
      </c>
      <c r="I417" s="124"/>
      <c r="J417" s="1601">
        <f>J405+J409+J413</f>
        <v>43191</v>
      </c>
      <c r="K417" s="124"/>
      <c r="L417" s="1601">
        <f>L405+L409+L413</f>
        <v>42850</v>
      </c>
      <c r="M417" s="124"/>
      <c r="N417" s="1601">
        <f>N405+N409+N413</f>
        <v>42850</v>
      </c>
      <c r="O417" s="124"/>
      <c r="P417" s="1597">
        <f>P405+P409+P413</f>
        <v>42850</v>
      </c>
      <c r="Q417" s="124"/>
      <c r="R417" s="122">
        <f>R405+R409+R413</f>
        <v>42850</v>
      </c>
      <c r="S417" s="124"/>
      <c r="T417" s="3197">
        <f t="shared" ref="T417" si="585">(((N417/B417)^(1/6)-1))</f>
        <v>-9.9226629686843815E-4</v>
      </c>
      <c r="U417" s="1480"/>
      <c r="V417" s="1479">
        <f t="shared" si="582"/>
        <v>0</v>
      </c>
      <c r="W417" s="1480"/>
      <c r="X417" s="3198">
        <f t="shared" si="583"/>
        <v>0</v>
      </c>
    </row>
    <row r="418" spans="1:24" s="1586" customFormat="1" ht="8.25" customHeight="1" thickBot="1">
      <c r="A418" s="1663"/>
      <c r="B418" s="126"/>
      <c r="C418" s="3068"/>
      <c r="D418" s="1598"/>
      <c r="E418" s="1598"/>
      <c r="F418" s="1598"/>
      <c r="G418" s="1598"/>
      <c r="H418" s="1598"/>
      <c r="I418" s="1598"/>
      <c r="J418" s="1598"/>
      <c r="K418" s="1598"/>
      <c r="L418" s="1598"/>
      <c r="M418" s="1598"/>
      <c r="N418" s="1598"/>
      <c r="O418" s="1598"/>
      <c r="P418" s="1596"/>
      <c r="Q418" s="1598"/>
      <c r="R418" s="127"/>
      <c r="S418" s="1598"/>
      <c r="T418" s="84"/>
      <c r="U418" s="34"/>
      <c r="V418" s="34"/>
      <c r="W418" s="34"/>
      <c r="X418" s="42"/>
    </row>
    <row r="419" spans="1:24" s="1586" customFormat="1">
      <c r="A419" s="1657" t="s">
        <v>24</v>
      </c>
      <c r="B419" s="115"/>
      <c r="C419" s="3073"/>
      <c r="D419" s="116"/>
      <c r="E419" s="1600"/>
      <c r="F419" s="116"/>
      <c r="G419" s="1600"/>
      <c r="H419" s="117"/>
      <c r="I419" s="1600"/>
      <c r="J419" s="117"/>
      <c r="K419" s="1600"/>
      <c r="L419" s="117"/>
      <c r="M419" s="1600"/>
      <c r="N419" s="117"/>
      <c r="O419" s="1600"/>
      <c r="P419" s="118"/>
      <c r="Q419" s="1600"/>
      <c r="R419" s="119"/>
      <c r="S419" s="1600"/>
      <c r="T419" s="86"/>
      <c r="U419" s="45"/>
      <c r="V419" s="47"/>
      <c r="W419" s="45"/>
      <c r="X419" s="85"/>
    </row>
    <row r="420" spans="1:24" s="1586" customFormat="1">
      <c r="A420" s="1658" t="s">
        <v>19</v>
      </c>
      <c r="B420" s="1595">
        <f>SUM(B421:B423)</f>
        <v>31392.100000000002</v>
      </c>
      <c r="C420" s="3065"/>
      <c r="D420" s="1597">
        <f>SUM(D421:D423)</f>
        <v>31358.1</v>
      </c>
      <c r="E420" s="1596"/>
      <c r="F420" s="1597">
        <f>SUM(F421:F423)</f>
        <v>31334.9</v>
      </c>
      <c r="G420" s="1596"/>
      <c r="H420" s="1597">
        <f>SUM(H421:H423)</f>
        <v>30952.400000000001</v>
      </c>
      <c r="I420" s="1596"/>
      <c r="J420" s="1597">
        <f>SUM(J421:J423)</f>
        <v>30729.1</v>
      </c>
      <c r="K420" s="1596"/>
      <c r="L420" s="1597">
        <f>SUM(L421:L423)</f>
        <v>30696.899999999998</v>
      </c>
      <c r="M420" s="1596"/>
      <c r="N420" s="1597">
        <f>SUM(N421:N423)</f>
        <v>30696.899999999998</v>
      </c>
      <c r="O420" s="1596"/>
      <c r="P420" s="1597">
        <f>SUM(P421:P423)</f>
        <v>30696.899999999998</v>
      </c>
      <c r="Q420" s="1596"/>
      <c r="R420" s="122">
        <f>SUM(R421:R423)</f>
        <v>30696.899999999998</v>
      </c>
      <c r="S420" s="1596"/>
      <c r="T420" s="3188">
        <f>(((N420/B420)^(1/6)-1))</f>
        <v>-3.7254758986803305E-3</v>
      </c>
      <c r="U420" s="25"/>
      <c r="V420" s="3189">
        <f>(P420-N420)/N420</f>
        <v>0</v>
      </c>
      <c r="W420" s="25"/>
      <c r="X420" s="3190">
        <f>(R420-P420)/P420</f>
        <v>0</v>
      </c>
    </row>
    <row r="421" spans="1:24" s="1586" customFormat="1">
      <c r="A421" s="1658" t="s">
        <v>20</v>
      </c>
      <c r="B421" s="1664">
        <v>20899.900000000001</v>
      </c>
      <c r="C421" s="3115"/>
      <c r="D421" s="1683">
        <v>20917.7</v>
      </c>
      <c r="E421" s="1665"/>
      <c r="F421" s="1683">
        <v>20501.8</v>
      </c>
      <c r="G421" s="1665"/>
      <c r="H421" s="1683">
        <v>19911.2</v>
      </c>
      <c r="I421" s="1665"/>
      <c r="J421" s="1683">
        <v>19179</v>
      </c>
      <c r="K421" s="1680"/>
      <c r="L421" s="1683">
        <v>18087.599999999999</v>
      </c>
      <c r="M421" s="1680"/>
      <c r="N421" s="1683">
        <v>18087.599999999999</v>
      </c>
      <c r="O421" s="1680"/>
      <c r="P421" s="1683">
        <v>18087.599999999999</v>
      </c>
      <c r="Q421" s="1680"/>
      <c r="R421" s="1654">
        <v>18087.599999999999</v>
      </c>
      <c r="S421" s="1598"/>
      <c r="T421" s="3191">
        <f t="shared" ref="T421:T424" si="586">(((N421/B421)^(1/6)-1))</f>
        <v>-2.3798532521925209E-2</v>
      </c>
      <c r="U421" s="77"/>
      <c r="V421" s="78">
        <f t="shared" ref="V421:V430" si="587">(P421-N421)/N421</f>
        <v>0</v>
      </c>
      <c r="W421" s="77"/>
      <c r="X421" s="3192">
        <f t="shared" ref="X421:X430" si="588">(R421-P421)/P421</f>
        <v>0</v>
      </c>
    </row>
    <row r="422" spans="1:24" s="1586" customFormat="1">
      <c r="A422" s="1658" t="s">
        <v>17</v>
      </c>
      <c r="B422" s="1664">
        <v>10492.2</v>
      </c>
      <c r="C422" s="3115"/>
      <c r="D422" s="1683">
        <v>10440.4</v>
      </c>
      <c r="E422" s="1665"/>
      <c r="F422" s="1683">
        <v>10833.1</v>
      </c>
      <c r="G422" s="1665"/>
      <c r="H422" s="1683">
        <v>11041.2</v>
      </c>
      <c r="I422" s="1665"/>
      <c r="J422" s="1683">
        <v>11550.1</v>
      </c>
      <c r="K422" s="1680"/>
      <c r="L422" s="1683">
        <v>12609.3</v>
      </c>
      <c r="M422" s="1680"/>
      <c r="N422" s="1683">
        <v>12609.3</v>
      </c>
      <c r="O422" s="1680"/>
      <c r="P422" s="1683">
        <v>12609.3</v>
      </c>
      <c r="Q422" s="1680"/>
      <c r="R422" s="1654">
        <v>12609.3</v>
      </c>
      <c r="S422" s="1598"/>
      <c r="T422" s="3191">
        <f t="shared" si="586"/>
        <v>3.1107793722725985E-2</v>
      </c>
      <c r="U422" s="77"/>
      <c r="V422" s="78">
        <f t="shared" si="587"/>
        <v>0</v>
      </c>
      <c r="W422" s="77"/>
      <c r="X422" s="3192">
        <f t="shared" si="588"/>
        <v>0</v>
      </c>
    </row>
    <row r="423" spans="1:24" s="1586" customFormat="1">
      <c r="A423" s="1658" t="s">
        <v>154</v>
      </c>
      <c r="B423" s="1664">
        <v>0</v>
      </c>
      <c r="C423" s="3115"/>
      <c r="D423" s="1683">
        <v>0</v>
      </c>
      <c r="E423" s="1665"/>
      <c r="F423" s="1683">
        <v>0</v>
      </c>
      <c r="G423" s="1665"/>
      <c r="H423" s="1683">
        <v>0</v>
      </c>
      <c r="I423" s="1665"/>
      <c r="J423" s="1683">
        <v>0</v>
      </c>
      <c r="K423" s="1680"/>
      <c r="L423" s="1679">
        <v>0</v>
      </c>
      <c r="M423" s="1680"/>
      <c r="N423" s="1679">
        <v>0</v>
      </c>
      <c r="O423" s="1680"/>
      <c r="P423" s="1679">
        <v>0</v>
      </c>
      <c r="Q423" s="1680"/>
      <c r="R423" s="1645">
        <v>0</v>
      </c>
      <c r="S423" s="1598"/>
      <c r="T423" s="3191"/>
      <c r="U423" s="77"/>
      <c r="V423" s="78"/>
      <c r="W423" s="77"/>
      <c r="X423" s="3192"/>
    </row>
    <row r="424" spans="1:24" s="1586" customFormat="1">
      <c r="A424" s="1658" t="s">
        <v>21</v>
      </c>
      <c r="B424" s="1595">
        <f>SUM(B425:B427)</f>
        <v>6862</v>
      </c>
      <c r="C424" s="3065"/>
      <c r="D424" s="1597">
        <f>SUM(D425:D427)</f>
        <v>6854.2999999999993</v>
      </c>
      <c r="E424" s="1596"/>
      <c r="F424" s="1597">
        <f>SUM(F425:F427)</f>
        <v>7097.1</v>
      </c>
      <c r="G424" s="1596"/>
      <c r="H424" s="1597">
        <f>SUM(H425:H427)</f>
        <v>7274.6</v>
      </c>
      <c r="I424" s="1596"/>
      <c r="J424" s="1597">
        <f>SUM(J425:J427)</f>
        <v>7334.1</v>
      </c>
      <c r="K424" s="1596"/>
      <c r="L424" s="1597">
        <f>SUM(L425:L427)</f>
        <v>7275.4</v>
      </c>
      <c r="M424" s="1596"/>
      <c r="N424" s="1597">
        <f>SUM(N425:N427)</f>
        <v>7275.4</v>
      </c>
      <c r="O424" s="1596"/>
      <c r="P424" s="1597">
        <f>SUM(P425:P427)</f>
        <v>7275.4</v>
      </c>
      <c r="Q424" s="1596"/>
      <c r="R424" s="122">
        <f>SUM(R425:R427)</f>
        <v>7275.4</v>
      </c>
      <c r="S424" s="1598"/>
      <c r="T424" s="3197">
        <f t="shared" si="586"/>
        <v>9.7976608467191806E-3</v>
      </c>
      <c r="U424" s="1480"/>
      <c r="V424" s="1479">
        <f t="shared" si="587"/>
        <v>0</v>
      </c>
      <c r="W424" s="1480"/>
      <c r="X424" s="3198">
        <f t="shared" si="588"/>
        <v>0</v>
      </c>
    </row>
    <row r="425" spans="1:24" s="1586" customFormat="1">
      <c r="A425" s="1658" t="s">
        <v>20</v>
      </c>
      <c r="B425" s="1664">
        <v>1240.2</v>
      </c>
      <c r="C425" s="3115"/>
      <c r="D425" s="1683">
        <v>1288.9000000000001</v>
      </c>
      <c r="E425" s="1665"/>
      <c r="F425" s="1683">
        <v>1339.6</v>
      </c>
      <c r="G425" s="1665"/>
      <c r="H425" s="1683">
        <v>1411.5</v>
      </c>
      <c r="I425" s="1665"/>
      <c r="J425" s="1683">
        <v>1346</v>
      </c>
      <c r="K425" s="1680"/>
      <c r="L425" s="1683">
        <v>1303.5</v>
      </c>
      <c r="M425" s="1680"/>
      <c r="N425" s="1683">
        <v>1303.5</v>
      </c>
      <c r="O425" s="1680"/>
      <c r="P425" s="1683">
        <v>1303.5</v>
      </c>
      <c r="Q425" s="1680"/>
      <c r="R425" s="1654">
        <v>1303.5</v>
      </c>
      <c r="S425" s="1598"/>
      <c r="T425" s="3191">
        <f>(((N425/B425)^(1/6)-1))</f>
        <v>8.3312293756985234E-3</v>
      </c>
      <c r="U425" s="77"/>
      <c r="V425" s="78">
        <f t="shared" si="587"/>
        <v>0</v>
      </c>
      <c r="W425" s="77"/>
      <c r="X425" s="3192">
        <f t="shared" si="588"/>
        <v>0</v>
      </c>
    </row>
    <row r="426" spans="1:24" s="1586" customFormat="1">
      <c r="A426" s="1658" t="s">
        <v>17</v>
      </c>
      <c r="B426" s="1664">
        <v>5621.8</v>
      </c>
      <c r="C426" s="3115"/>
      <c r="D426" s="1683">
        <v>5565.4</v>
      </c>
      <c r="E426" s="1665"/>
      <c r="F426" s="1683">
        <v>5757.5</v>
      </c>
      <c r="G426" s="1665"/>
      <c r="H426" s="1683">
        <v>5863.1</v>
      </c>
      <c r="I426" s="1665"/>
      <c r="J426" s="1683">
        <v>5988.1</v>
      </c>
      <c r="K426" s="1680"/>
      <c r="L426" s="1683">
        <v>5971.9</v>
      </c>
      <c r="M426" s="1680"/>
      <c r="N426" s="1683">
        <v>5971.9</v>
      </c>
      <c r="O426" s="1680"/>
      <c r="P426" s="1683">
        <v>5971.9</v>
      </c>
      <c r="Q426" s="1680"/>
      <c r="R426" s="1654">
        <v>5971.9</v>
      </c>
      <c r="S426" s="1598"/>
      <c r="T426" s="3191">
        <f t="shared" ref="T426:T430" si="589">(((N426/B426)^(1/6)-1))</f>
        <v>1.0119734564745686E-2</v>
      </c>
      <c r="U426" s="77"/>
      <c r="V426" s="78">
        <f t="shared" si="587"/>
        <v>0</v>
      </c>
      <c r="W426" s="77"/>
      <c r="X426" s="3192">
        <f t="shared" si="588"/>
        <v>0</v>
      </c>
    </row>
    <row r="427" spans="1:24" s="1586" customFormat="1">
      <c r="A427" s="1658" t="s">
        <v>154</v>
      </c>
      <c r="B427" s="1664">
        <v>0</v>
      </c>
      <c r="C427" s="3115"/>
      <c r="D427" s="1683">
        <v>0</v>
      </c>
      <c r="E427" s="1665"/>
      <c r="F427" s="1683">
        <v>0</v>
      </c>
      <c r="G427" s="1665"/>
      <c r="H427" s="1683">
        <v>0</v>
      </c>
      <c r="I427" s="1665"/>
      <c r="J427" s="1683">
        <v>0</v>
      </c>
      <c r="K427" s="1680"/>
      <c r="L427" s="1679">
        <v>0</v>
      </c>
      <c r="M427" s="1680"/>
      <c r="N427" s="1679">
        <v>0</v>
      </c>
      <c r="O427" s="1680"/>
      <c r="P427" s="1679">
        <v>0</v>
      </c>
      <c r="Q427" s="1680"/>
      <c r="R427" s="1645">
        <v>0</v>
      </c>
      <c r="S427" s="1598"/>
      <c r="T427" s="3191"/>
      <c r="U427" s="77"/>
      <c r="V427" s="78"/>
      <c r="W427" s="77"/>
      <c r="X427" s="3192"/>
    </row>
    <row r="428" spans="1:24" s="1586" customFormat="1">
      <c r="A428" s="1661" t="s">
        <v>22</v>
      </c>
      <c r="B428" s="1595">
        <f>SUM(B429:B431)</f>
        <v>1388.3999999999999</v>
      </c>
      <c r="C428" s="3065"/>
      <c r="D428" s="1597">
        <f>SUM(D429:D431)</f>
        <v>1407.4</v>
      </c>
      <c r="E428" s="1596"/>
      <c r="F428" s="1597">
        <f>SUM(F429:F431)</f>
        <v>1379.9</v>
      </c>
      <c r="G428" s="1596"/>
      <c r="H428" s="1597">
        <f>SUM(H429:H431)</f>
        <v>1432.1</v>
      </c>
      <c r="I428" s="1596"/>
      <c r="J428" s="1597">
        <f>SUM(J429:J431)</f>
        <v>1459.9</v>
      </c>
      <c r="K428" s="1596"/>
      <c r="L428" s="1597">
        <f>SUM(L429:L431)</f>
        <v>1445</v>
      </c>
      <c r="M428" s="1596"/>
      <c r="N428" s="1597">
        <f>SUM(N429:N431)</f>
        <v>1445</v>
      </c>
      <c r="O428" s="1596"/>
      <c r="P428" s="1597">
        <f>SUM(P429:P431)</f>
        <v>1445</v>
      </c>
      <c r="Q428" s="1596"/>
      <c r="R428" s="122">
        <f>SUM(R429:R431)</f>
        <v>1445</v>
      </c>
      <c r="S428" s="1598"/>
      <c r="T428" s="3197">
        <f t="shared" si="589"/>
        <v>6.6817768881581863E-3</v>
      </c>
      <c r="U428" s="1480"/>
      <c r="V428" s="1479">
        <f t="shared" si="587"/>
        <v>0</v>
      </c>
      <c r="W428" s="1480"/>
      <c r="X428" s="3198">
        <f t="shared" si="588"/>
        <v>0</v>
      </c>
    </row>
    <row r="429" spans="1:24" s="1586" customFormat="1">
      <c r="A429" s="1658" t="s">
        <v>20</v>
      </c>
      <c r="B429" s="1666">
        <v>1030.0999999999999</v>
      </c>
      <c r="C429" s="3115"/>
      <c r="D429" s="1684">
        <v>1009.6</v>
      </c>
      <c r="E429" s="1665"/>
      <c r="F429" s="1684">
        <v>982.1</v>
      </c>
      <c r="G429" s="1665"/>
      <c r="H429" s="1684">
        <v>1011.3</v>
      </c>
      <c r="I429" s="1665"/>
      <c r="J429" s="1684">
        <v>1028.9000000000001</v>
      </c>
      <c r="K429" s="1680"/>
      <c r="L429" s="1684">
        <v>1013.9</v>
      </c>
      <c r="M429" s="1680"/>
      <c r="N429" s="1684">
        <v>1013.9</v>
      </c>
      <c r="O429" s="1680"/>
      <c r="P429" s="1684">
        <v>1013.9</v>
      </c>
      <c r="Q429" s="1680"/>
      <c r="R429" s="1646">
        <v>1013.9</v>
      </c>
      <c r="S429" s="1598"/>
      <c r="T429" s="3191">
        <f t="shared" si="589"/>
        <v>-2.6384471522586939E-3</v>
      </c>
      <c r="U429" s="77"/>
      <c r="V429" s="78">
        <f t="shared" si="587"/>
        <v>0</v>
      </c>
      <c r="W429" s="77"/>
      <c r="X429" s="3192">
        <f t="shared" si="588"/>
        <v>0</v>
      </c>
    </row>
    <row r="430" spans="1:24" s="1586" customFormat="1">
      <c r="A430" s="1658" t="s">
        <v>17</v>
      </c>
      <c r="B430" s="1666">
        <v>358.3</v>
      </c>
      <c r="C430" s="3115"/>
      <c r="D430" s="1684">
        <v>397.8</v>
      </c>
      <c r="E430" s="1665"/>
      <c r="F430" s="1684">
        <v>397.8</v>
      </c>
      <c r="G430" s="1665"/>
      <c r="H430" s="1684">
        <v>420.8</v>
      </c>
      <c r="I430" s="1665"/>
      <c r="J430" s="1684">
        <v>431</v>
      </c>
      <c r="K430" s="1680"/>
      <c r="L430" s="1684">
        <v>431.1</v>
      </c>
      <c r="M430" s="1680"/>
      <c r="N430" s="1684">
        <v>431.1</v>
      </c>
      <c r="O430" s="1680"/>
      <c r="P430" s="1684">
        <v>431.1</v>
      </c>
      <c r="Q430" s="1680"/>
      <c r="R430" s="1646">
        <v>431.1</v>
      </c>
      <c r="S430" s="1598"/>
      <c r="T430" s="3191">
        <f t="shared" si="589"/>
        <v>3.1308354148732009E-2</v>
      </c>
      <c r="U430" s="77"/>
      <c r="V430" s="78">
        <f t="shared" si="587"/>
        <v>0</v>
      </c>
      <c r="W430" s="77"/>
      <c r="X430" s="3192">
        <f t="shared" si="588"/>
        <v>0</v>
      </c>
    </row>
    <row r="431" spans="1:24" s="1586" customFormat="1" ht="13.8" thickBot="1">
      <c r="A431" s="102" t="s">
        <v>154</v>
      </c>
      <c r="B431" s="1667">
        <v>0</v>
      </c>
      <c r="C431" s="2666"/>
      <c r="D431" s="1685">
        <v>0</v>
      </c>
      <c r="E431" s="1668"/>
      <c r="F431" s="1685">
        <v>0</v>
      </c>
      <c r="G431" s="1668"/>
      <c r="H431" s="1685">
        <v>0</v>
      </c>
      <c r="I431" s="1668"/>
      <c r="J431" s="1685">
        <v>0</v>
      </c>
      <c r="K431" s="1682"/>
      <c r="L431" s="1685">
        <v>0</v>
      </c>
      <c r="M431" s="1682"/>
      <c r="N431" s="1685">
        <v>0</v>
      </c>
      <c r="O431" s="1682"/>
      <c r="P431" s="1685">
        <v>0</v>
      </c>
      <c r="Q431" s="1682"/>
      <c r="R431" s="1656">
        <v>0</v>
      </c>
      <c r="S431" s="1599"/>
      <c r="T431" s="3193"/>
      <c r="U431" s="3194"/>
      <c r="V431" s="3195"/>
      <c r="W431" s="3194"/>
      <c r="X431" s="3196"/>
    </row>
    <row r="432" spans="1:24" s="1586" customFormat="1" ht="13.8" thickTop="1">
      <c r="A432" s="1669" t="s">
        <v>25</v>
      </c>
      <c r="B432" s="123">
        <f>B420+B424+B428</f>
        <v>39642.500000000007</v>
      </c>
      <c r="C432" s="124"/>
      <c r="D432" s="1601">
        <f>D420+D424+D428</f>
        <v>39619.799999999996</v>
      </c>
      <c r="E432" s="124"/>
      <c r="F432" s="1601">
        <f>F420+F424+F428</f>
        <v>39811.9</v>
      </c>
      <c r="G432" s="124"/>
      <c r="H432" s="1601">
        <f>H420+H424+H428</f>
        <v>39659.1</v>
      </c>
      <c r="I432" s="124"/>
      <c r="J432" s="1601">
        <f>J420+J424+J428</f>
        <v>39523.1</v>
      </c>
      <c r="K432" s="124"/>
      <c r="L432" s="1601">
        <f>L420+L424+L428</f>
        <v>39417.299999999996</v>
      </c>
      <c r="M432" s="124"/>
      <c r="N432" s="1601">
        <f>N420+N424+N428</f>
        <v>39417.299999999996</v>
      </c>
      <c r="O432" s="124"/>
      <c r="P432" s="1597">
        <f>P420+P424+P428</f>
        <v>39417.299999999996</v>
      </c>
      <c r="Q432" s="124"/>
      <c r="R432" s="122">
        <f>R420+R424+R428</f>
        <v>39417.299999999996</v>
      </c>
      <c r="S432" s="124"/>
      <c r="T432" s="3197">
        <f t="shared" ref="T432" si="590">(((N432/B432)^(1/6)-1))</f>
        <v>-9.4904418134800217E-4</v>
      </c>
      <c r="U432" s="1480"/>
      <c r="V432" s="1479">
        <f t="shared" ref="V432" si="591">(P432-N432)/N432</f>
        <v>0</v>
      </c>
      <c r="W432" s="1480"/>
      <c r="X432" s="3198">
        <f t="shared" ref="X432" si="592">(R432-P432)/P432</f>
        <v>0</v>
      </c>
    </row>
    <row r="433" spans="1:25" s="1586" customFormat="1" ht="8.25" customHeight="1" thickBot="1">
      <c r="A433" s="1663"/>
      <c r="B433" s="126"/>
      <c r="C433" s="3068"/>
      <c r="D433" s="1598"/>
      <c r="E433" s="1598"/>
      <c r="F433" s="1598"/>
      <c r="G433" s="1598"/>
      <c r="H433" s="1598"/>
      <c r="I433" s="1598"/>
      <c r="J433" s="1598"/>
      <c r="K433" s="1598"/>
      <c r="L433" s="1598"/>
      <c r="M433" s="1598"/>
      <c r="N433" s="1598"/>
      <c r="O433" s="1598"/>
      <c r="P433" s="1596"/>
      <c r="Q433" s="1598"/>
      <c r="R433" s="127"/>
      <c r="S433" s="1598"/>
      <c r="T433" s="84"/>
      <c r="U433" s="34"/>
      <c r="V433" s="34"/>
      <c r="W433" s="34"/>
      <c r="X433" s="42"/>
    </row>
    <row r="434" spans="1:25" s="1586" customFormat="1">
      <c r="A434" s="1657" t="s">
        <v>78</v>
      </c>
      <c r="B434" s="115"/>
      <c r="C434" s="3073"/>
      <c r="D434" s="116"/>
      <c r="E434" s="1600"/>
      <c r="F434" s="116"/>
      <c r="G434" s="1600"/>
      <c r="H434" s="117"/>
      <c r="I434" s="1600"/>
      <c r="J434" s="117"/>
      <c r="K434" s="1600"/>
      <c r="L434" s="117"/>
      <c r="M434" s="1600"/>
      <c r="N434" s="117"/>
      <c r="O434" s="1600"/>
      <c r="P434" s="118"/>
      <c r="Q434" s="1600"/>
      <c r="R434" s="119"/>
      <c r="S434" s="1600"/>
      <c r="T434" s="86"/>
      <c r="U434" s="45"/>
      <c r="V434" s="47"/>
      <c r="W434" s="45"/>
      <c r="X434" s="85"/>
    </row>
    <row r="435" spans="1:25" s="1586" customFormat="1">
      <c r="A435" s="1661" t="s">
        <v>79</v>
      </c>
      <c r="B435" s="1670">
        <v>130</v>
      </c>
      <c r="C435" s="3119"/>
      <c r="D435" s="1672">
        <v>130</v>
      </c>
      <c r="E435" s="1671"/>
      <c r="F435" s="1672">
        <v>153</v>
      </c>
      <c r="G435" s="1671"/>
      <c r="H435" s="1686">
        <v>233</v>
      </c>
      <c r="I435" s="1671"/>
      <c r="J435" s="1686">
        <v>321</v>
      </c>
      <c r="K435" s="1678"/>
      <c r="L435" s="1686">
        <v>525</v>
      </c>
      <c r="M435" s="1678"/>
      <c r="N435" s="1686">
        <v>525</v>
      </c>
      <c r="O435" s="1678"/>
      <c r="P435" s="1686">
        <v>525</v>
      </c>
      <c r="Q435" s="1678"/>
      <c r="R435" s="1648">
        <v>525</v>
      </c>
      <c r="S435" s="1596"/>
      <c r="T435" s="3191">
        <f t="shared" ref="T435:T436" si="593">(((N435/B435)^(1/6)-1))</f>
        <v>0.26193211199379096</v>
      </c>
      <c r="U435" s="77"/>
      <c r="V435" s="78">
        <f t="shared" ref="V435:V436" si="594">(P435-N435)/N435</f>
        <v>0</v>
      </c>
      <c r="W435" s="77"/>
      <c r="X435" s="3192">
        <f t="shared" ref="X435:X436" si="595">(R435-P435)/P435</f>
        <v>0</v>
      </c>
    </row>
    <row r="436" spans="1:25" s="1586" customFormat="1" ht="13.8" thickBot="1">
      <c r="A436" s="1673" t="s">
        <v>80</v>
      </c>
      <c r="B436" s="1674">
        <v>13</v>
      </c>
      <c r="C436" s="3125"/>
      <c r="D436" s="1675">
        <v>13</v>
      </c>
      <c r="E436" s="1676"/>
      <c r="F436" s="1677">
        <v>16</v>
      </c>
      <c r="G436" s="1676"/>
      <c r="H436" s="1687">
        <v>25.5</v>
      </c>
      <c r="I436" s="1676"/>
      <c r="J436" s="1687">
        <v>34.5</v>
      </c>
      <c r="K436" s="1688"/>
      <c r="L436" s="1687">
        <v>56.4</v>
      </c>
      <c r="M436" s="1688"/>
      <c r="N436" s="1687">
        <v>56.4</v>
      </c>
      <c r="O436" s="1688"/>
      <c r="P436" s="1687">
        <v>56.4</v>
      </c>
      <c r="Q436" s="1688"/>
      <c r="R436" s="1653">
        <v>56.4</v>
      </c>
      <c r="S436" s="97"/>
      <c r="T436" s="3191">
        <f t="shared" si="593"/>
        <v>0.27709329650309122</v>
      </c>
      <c r="U436" s="77"/>
      <c r="V436" s="78">
        <f t="shared" si="594"/>
        <v>0</v>
      </c>
      <c r="W436" s="77"/>
      <c r="X436" s="3192">
        <f t="shared" si="595"/>
        <v>0</v>
      </c>
      <c r="Y436" s="3259"/>
    </row>
    <row r="437" spans="1:25" s="1690" customFormat="1" ht="13.8" thickBot="1">
      <c r="A437" s="111"/>
      <c r="B437" s="112"/>
      <c r="C437" s="112"/>
      <c r="D437" s="112"/>
      <c r="E437" s="112"/>
      <c r="F437" s="113"/>
      <c r="G437" s="112"/>
      <c r="H437" s="112"/>
      <c r="I437" s="112"/>
      <c r="J437" s="112"/>
      <c r="K437" s="112"/>
      <c r="L437" s="112"/>
      <c r="M437" s="112"/>
      <c r="N437" s="112"/>
      <c r="O437" s="112"/>
      <c r="P437" s="112"/>
      <c r="Q437" s="112"/>
      <c r="R437" s="112"/>
      <c r="S437" s="112"/>
      <c r="T437" s="112"/>
      <c r="U437" s="112"/>
      <c r="V437" s="112"/>
      <c r="W437" s="112"/>
      <c r="X437" s="112"/>
    </row>
    <row r="438" spans="1:25" s="1700" customFormat="1">
      <c r="A438" s="114" t="s">
        <v>204</v>
      </c>
      <c r="B438" s="1691" t="s">
        <v>13</v>
      </c>
      <c r="C438" s="3051"/>
      <c r="D438" s="1693" t="s">
        <v>13</v>
      </c>
      <c r="E438" s="1692"/>
      <c r="F438" s="1694" t="s">
        <v>13</v>
      </c>
      <c r="G438" s="1692"/>
      <c r="H438" s="1694" t="s">
        <v>13</v>
      </c>
      <c r="I438" s="1692"/>
      <c r="J438" s="1694" t="s">
        <v>13</v>
      </c>
      <c r="K438" s="1692"/>
      <c r="L438" s="1695" t="s">
        <v>14</v>
      </c>
      <c r="M438" s="1692"/>
      <c r="N438" s="1695" t="s">
        <v>15</v>
      </c>
      <c r="O438" s="1692"/>
      <c r="P438" s="1696" t="s">
        <v>16</v>
      </c>
      <c r="Q438" s="1692"/>
      <c r="R438" s="1611" t="s">
        <v>16</v>
      </c>
      <c r="S438" s="1692"/>
      <c r="T438" s="1612" t="s">
        <v>62</v>
      </c>
      <c r="U438" s="1698"/>
      <c r="V438" s="1697" t="s">
        <v>75</v>
      </c>
      <c r="W438" s="1698"/>
      <c r="X438" s="1699" t="s">
        <v>75</v>
      </c>
    </row>
    <row r="439" spans="1:25" s="1700" customFormat="1" ht="13.8" thickBot="1">
      <c r="A439" s="1701"/>
      <c r="B439" s="1702" t="s">
        <v>3</v>
      </c>
      <c r="C439" s="3053"/>
      <c r="D439" s="1704" t="s">
        <v>4</v>
      </c>
      <c r="E439" s="1703"/>
      <c r="F439" s="1705" t="s">
        <v>5</v>
      </c>
      <c r="G439" s="1703"/>
      <c r="H439" s="1706" t="s">
        <v>6</v>
      </c>
      <c r="I439" s="1703"/>
      <c r="J439" s="1706" t="s">
        <v>7</v>
      </c>
      <c r="K439" s="1703"/>
      <c r="L439" s="1706" t="s">
        <v>8</v>
      </c>
      <c r="M439" s="1703"/>
      <c r="N439" s="1706" t="s">
        <v>9</v>
      </c>
      <c r="O439" s="1703"/>
      <c r="P439" s="1707" t="s">
        <v>10</v>
      </c>
      <c r="Q439" s="1703"/>
      <c r="R439" s="1623" t="s">
        <v>11</v>
      </c>
      <c r="S439" s="1703"/>
      <c r="T439" s="1624" t="s">
        <v>63</v>
      </c>
      <c r="U439" s="1709"/>
      <c r="V439" s="1708" t="s">
        <v>76</v>
      </c>
      <c r="W439" s="1709"/>
      <c r="X439" s="1710" t="s">
        <v>77</v>
      </c>
    </row>
    <row r="440" spans="1:25" s="1690" customFormat="1">
      <c r="A440" s="1733" t="s">
        <v>81</v>
      </c>
      <c r="B440" s="115"/>
      <c r="C440" s="3073"/>
      <c r="D440" s="116"/>
      <c r="E440" s="1600"/>
      <c r="F440" s="116"/>
      <c r="G440" s="1600"/>
      <c r="H440" s="117"/>
      <c r="I440" s="1600"/>
      <c r="J440" s="117"/>
      <c r="K440" s="1600"/>
      <c r="L440" s="117"/>
      <c r="M440" s="1600"/>
      <c r="N440" s="117"/>
      <c r="O440" s="1600"/>
      <c r="P440" s="118"/>
      <c r="Q440" s="1600"/>
      <c r="R440" s="119"/>
      <c r="S440" s="1600"/>
      <c r="T440" s="120"/>
      <c r="U440" s="1600"/>
      <c r="V440" s="117"/>
      <c r="W440" s="1600"/>
      <c r="X440" s="121"/>
    </row>
    <row r="441" spans="1:25" s="1690" customFormat="1">
      <c r="A441" s="1735" t="s">
        <v>19</v>
      </c>
      <c r="B441" s="1595">
        <f>SUM(B442:B444)</f>
        <v>10595</v>
      </c>
      <c r="C441" s="3065"/>
      <c r="D441" s="1597">
        <f>SUM(D442:D444)</f>
        <v>10649</v>
      </c>
      <c r="E441" s="1596"/>
      <c r="F441" s="1597">
        <f>SUM(F442:F444)</f>
        <v>10218</v>
      </c>
      <c r="G441" s="1596"/>
      <c r="H441" s="1597">
        <f>SUM(H442:H444)</f>
        <v>10869</v>
      </c>
      <c r="I441" s="1596"/>
      <c r="J441" s="1597">
        <f>SUM(J442:J444)</f>
        <v>10734</v>
      </c>
      <c r="K441" s="1596"/>
      <c r="L441" s="1597">
        <f>SUM(L442:L444)</f>
        <v>11082</v>
      </c>
      <c r="M441" s="1596"/>
      <c r="N441" s="1597">
        <f>SUM(N442:N444)</f>
        <v>11082</v>
      </c>
      <c r="O441" s="1596"/>
      <c r="P441" s="1597">
        <f>SUM(P442:P444)</f>
        <v>11082</v>
      </c>
      <c r="Q441" s="1596"/>
      <c r="R441" s="122">
        <f>SUM(R442:R444)</f>
        <v>11303.64</v>
      </c>
      <c r="S441" s="1596"/>
      <c r="T441" s="3188">
        <f>(((N441/B441)^(1/6)-1))</f>
        <v>7.5181166404467703E-3</v>
      </c>
      <c r="U441" s="25"/>
      <c r="V441" s="3189">
        <f>(P441-N441)/N441</f>
        <v>0</v>
      </c>
      <c r="W441" s="25"/>
      <c r="X441" s="3190">
        <f>(R441-P441)/P441</f>
        <v>1.9999999999999948E-2</v>
      </c>
    </row>
    <row r="442" spans="1:25" s="1690" customFormat="1">
      <c r="A442" s="1735" t="s">
        <v>20</v>
      </c>
      <c r="B442" s="1736">
        <v>9409</v>
      </c>
      <c r="C442" s="3101"/>
      <c r="D442" s="1759">
        <v>9296</v>
      </c>
      <c r="E442" s="1737"/>
      <c r="F442" s="1759">
        <v>8774</v>
      </c>
      <c r="G442" s="1737"/>
      <c r="H442" s="1759">
        <v>9318</v>
      </c>
      <c r="I442" s="1737"/>
      <c r="J442" s="1759">
        <v>9038</v>
      </c>
      <c r="K442" s="1760"/>
      <c r="L442" s="1759">
        <v>8851</v>
      </c>
      <c r="M442" s="1760"/>
      <c r="N442" s="1761">
        <v>8851</v>
      </c>
      <c r="O442" s="1760"/>
      <c r="P442" s="1761">
        <v>8851</v>
      </c>
      <c r="Q442" s="1760"/>
      <c r="R442" s="1640">
        <v>9028.02</v>
      </c>
      <c r="S442" s="1598"/>
      <c r="T442" s="3191">
        <f t="shared" ref="T442:T445" si="596">(((N442/B442)^(1/6)-1))</f>
        <v>-1.0137636057880983E-2</v>
      </c>
      <c r="U442" s="77"/>
      <c r="V442" s="78">
        <f t="shared" ref="V442:V453" si="597">(P442-N442)/N442</f>
        <v>0</v>
      </c>
      <c r="W442" s="77"/>
      <c r="X442" s="3192">
        <f t="shared" ref="X442:X453" si="598">(R442-P442)/P442</f>
        <v>2.0000000000000049E-2</v>
      </c>
    </row>
    <row r="443" spans="1:25" s="1690" customFormat="1">
      <c r="A443" s="1735" t="s">
        <v>17</v>
      </c>
      <c r="B443" s="1736">
        <v>1186</v>
      </c>
      <c r="C443" s="3101"/>
      <c r="D443" s="1759">
        <v>1353</v>
      </c>
      <c r="E443" s="1737"/>
      <c r="F443" s="1759">
        <v>1444</v>
      </c>
      <c r="G443" s="1737"/>
      <c r="H443" s="1759">
        <v>1551</v>
      </c>
      <c r="I443" s="1737"/>
      <c r="J443" s="1759">
        <v>1696</v>
      </c>
      <c r="K443" s="1760"/>
      <c r="L443" s="1759">
        <v>2231</v>
      </c>
      <c r="M443" s="1760"/>
      <c r="N443" s="1761">
        <v>2231</v>
      </c>
      <c r="O443" s="1760"/>
      <c r="P443" s="1761">
        <v>2231</v>
      </c>
      <c r="Q443" s="1760"/>
      <c r="R443" s="1640">
        <v>2275.62</v>
      </c>
      <c r="S443" s="1598"/>
      <c r="T443" s="3191">
        <f t="shared" si="596"/>
        <v>0.11105565340773249</v>
      </c>
      <c r="U443" s="77"/>
      <c r="V443" s="78">
        <f t="shared" si="597"/>
        <v>0</v>
      </c>
      <c r="W443" s="77"/>
      <c r="X443" s="3192">
        <f t="shared" si="598"/>
        <v>1.9999999999999952E-2</v>
      </c>
    </row>
    <row r="444" spans="1:25" s="1690" customFormat="1">
      <c r="A444" s="1735" t="s">
        <v>154</v>
      </c>
      <c r="B444" s="1736">
        <v>0</v>
      </c>
      <c r="C444" s="3101"/>
      <c r="D444" s="1759">
        <v>0</v>
      </c>
      <c r="E444" s="1737"/>
      <c r="F444" s="1759">
        <v>0</v>
      </c>
      <c r="G444" s="1737"/>
      <c r="H444" s="1759">
        <v>0</v>
      </c>
      <c r="I444" s="1737"/>
      <c r="J444" s="1759">
        <v>0</v>
      </c>
      <c r="K444" s="1760"/>
      <c r="L444" s="1759">
        <v>0</v>
      </c>
      <c r="M444" s="1760"/>
      <c r="N444" s="1761">
        <v>0</v>
      </c>
      <c r="O444" s="1760"/>
      <c r="P444" s="1761">
        <v>0</v>
      </c>
      <c r="Q444" s="1760"/>
      <c r="R444" s="1640">
        <v>0</v>
      </c>
      <c r="S444" s="1598"/>
      <c r="T444" s="3191"/>
      <c r="U444" s="77"/>
      <c r="V444" s="78"/>
      <c r="W444" s="77"/>
      <c r="X444" s="3192"/>
    </row>
    <row r="445" spans="1:25" s="1690" customFormat="1">
      <c r="A445" s="1735" t="s">
        <v>21</v>
      </c>
      <c r="B445" s="1595">
        <f>SUM(B446:B448)</f>
        <v>1325</v>
      </c>
      <c r="C445" s="3065"/>
      <c r="D445" s="1597">
        <f>SUM(D446:D448)</f>
        <v>1499</v>
      </c>
      <c r="E445" s="1596"/>
      <c r="F445" s="1597">
        <f>SUM(F446:F448)</f>
        <v>1494</v>
      </c>
      <c r="G445" s="1596"/>
      <c r="H445" s="1597">
        <f>SUM(H446:H448)</f>
        <v>1641</v>
      </c>
      <c r="I445" s="1596"/>
      <c r="J445" s="1597">
        <f>SUM(J446:J448)</f>
        <v>1641</v>
      </c>
      <c r="K445" s="1596"/>
      <c r="L445" s="1597">
        <f>SUM(L446:L448)</f>
        <v>1530</v>
      </c>
      <c r="M445" s="1596"/>
      <c r="N445" s="1597">
        <f>SUM(N446:N448)</f>
        <v>1530</v>
      </c>
      <c r="O445" s="1596"/>
      <c r="P445" s="1597">
        <f>SUM(P446:P448)</f>
        <v>1530</v>
      </c>
      <c r="Q445" s="1596"/>
      <c r="R445" s="122">
        <f>SUM(R446:R448)</f>
        <v>1560.6000000000001</v>
      </c>
      <c r="S445" s="1598"/>
      <c r="T445" s="3197">
        <f t="shared" si="596"/>
        <v>2.4265611617483751E-2</v>
      </c>
      <c r="U445" s="1480"/>
      <c r="V445" s="1479">
        <f t="shared" si="597"/>
        <v>0</v>
      </c>
      <c r="W445" s="1480"/>
      <c r="X445" s="3198">
        <f t="shared" si="598"/>
        <v>2.0000000000000091E-2</v>
      </c>
    </row>
    <row r="446" spans="1:25" s="1690" customFormat="1">
      <c r="A446" s="1735" t="s">
        <v>20</v>
      </c>
      <c r="B446" s="1736">
        <v>1084</v>
      </c>
      <c r="C446" s="3101"/>
      <c r="D446" s="1759">
        <v>1208</v>
      </c>
      <c r="E446" s="1737"/>
      <c r="F446" s="1759">
        <v>1168</v>
      </c>
      <c r="G446" s="1737"/>
      <c r="H446" s="1759">
        <v>1251</v>
      </c>
      <c r="I446" s="1737"/>
      <c r="J446" s="1759">
        <v>1207</v>
      </c>
      <c r="K446" s="1760"/>
      <c r="L446" s="1759">
        <v>1096</v>
      </c>
      <c r="M446" s="1760"/>
      <c r="N446" s="1761">
        <v>1096</v>
      </c>
      <c r="O446" s="1760"/>
      <c r="P446" s="1761">
        <v>1096</v>
      </c>
      <c r="Q446" s="1760"/>
      <c r="R446" s="1640">
        <v>1117.92</v>
      </c>
      <c r="S446" s="1598"/>
      <c r="T446" s="3191">
        <f>(((N446/B446)^(1/6)-1))</f>
        <v>1.8365653421350547E-3</v>
      </c>
      <c r="U446" s="77"/>
      <c r="V446" s="78">
        <f t="shared" si="597"/>
        <v>0</v>
      </c>
      <c r="W446" s="77"/>
      <c r="X446" s="3192">
        <f t="shared" si="598"/>
        <v>2.0000000000000066E-2</v>
      </c>
    </row>
    <row r="447" spans="1:25" s="1690" customFormat="1">
      <c r="A447" s="1735" t="s">
        <v>17</v>
      </c>
      <c r="B447" s="1736">
        <v>241</v>
      </c>
      <c r="C447" s="3101"/>
      <c r="D447" s="1759">
        <v>291</v>
      </c>
      <c r="E447" s="1737"/>
      <c r="F447" s="1759">
        <v>326</v>
      </c>
      <c r="G447" s="1737"/>
      <c r="H447" s="1759">
        <v>390</v>
      </c>
      <c r="I447" s="1737"/>
      <c r="J447" s="1759">
        <v>434</v>
      </c>
      <c r="K447" s="1760"/>
      <c r="L447" s="1759">
        <v>434</v>
      </c>
      <c r="M447" s="1760"/>
      <c r="N447" s="1761">
        <v>434</v>
      </c>
      <c r="O447" s="1760"/>
      <c r="P447" s="1761">
        <v>434</v>
      </c>
      <c r="Q447" s="1760"/>
      <c r="R447" s="1640">
        <v>442.68</v>
      </c>
      <c r="S447" s="1598"/>
      <c r="T447" s="3191">
        <f t="shared" ref="T447" si="599">(((N447/B447)^(1/6)-1))</f>
        <v>0.1030083017573511</v>
      </c>
      <c r="U447" s="77"/>
      <c r="V447" s="78">
        <f t="shared" si="597"/>
        <v>0</v>
      </c>
      <c r="W447" s="77"/>
      <c r="X447" s="3192">
        <f t="shared" si="598"/>
        <v>2.0000000000000014E-2</v>
      </c>
    </row>
    <row r="448" spans="1:25" s="1690" customFormat="1">
      <c r="A448" s="1735" t="s">
        <v>154</v>
      </c>
      <c r="B448" s="1736">
        <v>0</v>
      </c>
      <c r="C448" s="3101"/>
      <c r="D448" s="1759">
        <v>0</v>
      </c>
      <c r="E448" s="1737"/>
      <c r="F448" s="1759">
        <v>0</v>
      </c>
      <c r="G448" s="1737"/>
      <c r="H448" s="1759">
        <v>0</v>
      </c>
      <c r="I448" s="1737"/>
      <c r="J448" s="1759">
        <v>0</v>
      </c>
      <c r="K448" s="1760"/>
      <c r="L448" s="1759">
        <v>0</v>
      </c>
      <c r="M448" s="1760"/>
      <c r="N448" s="1761">
        <v>0</v>
      </c>
      <c r="O448" s="1760"/>
      <c r="P448" s="1761">
        <v>0</v>
      </c>
      <c r="Q448" s="1760"/>
      <c r="R448" s="1640">
        <v>0</v>
      </c>
      <c r="S448" s="1598"/>
      <c r="T448" s="3191"/>
      <c r="U448" s="77"/>
      <c r="V448" s="78"/>
      <c r="W448" s="77"/>
      <c r="X448" s="3192"/>
    </row>
    <row r="449" spans="1:24" s="1690" customFormat="1">
      <c r="A449" s="1738" t="s">
        <v>22</v>
      </c>
      <c r="B449" s="1595">
        <f>SUM(B450:B452)</f>
        <v>0</v>
      </c>
      <c r="C449" s="3065"/>
      <c r="D449" s="1597">
        <f>SUM(D450:D452)</f>
        <v>0</v>
      </c>
      <c r="E449" s="1596"/>
      <c r="F449" s="1597">
        <f>SUM(F450:F452)</f>
        <v>0</v>
      </c>
      <c r="G449" s="1596"/>
      <c r="H449" s="1597">
        <f>SUM(H450:H452)</f>
        <v>0</v>
      </c>
      <c r="I449" s="1596"/>
      <c r="J449" s="1597">
        <f>SUM(J450:J452)</f>
        <v>0</v>
      </c>
      <c r="K449" s="1596"/>
      <c r="L449" s="1597">
        <f>SUM(L450:L452)</f>
        <v>0</v>
      </c>
      <c r="M449" s="1596"/>
      <c r="N449" s="1597">
        <f>SUM(N450:N452)</f>
        <v>0</v>
      </c>
      <c r="O449" s="1596"/>
      <c r="P449" s="1597">
        <f>SUM(P450:P452)</f>
        <v>0</v>
      </c>
      <c r="Q449" s="1596"/>
      <c r="R449" s="122">
        <f>SUM(R450:R452)</f>
        <v>0</v>
      </c>
      <c r="S449" s="1598"/>
      <c r="T449" s="3197">
        <v>0</v>
      </c>
      <c r="U449" s="1480"/>
      <c r="V449" s="1479">
        <v>0</v>
      </c>
      <c r="W449" s="1480"/>
      <c r="X449" s="3198">
        <v>0</v>
      </c>
    </row>
    <row r="450" spans="1:24" s="1690" customFormat="1">
      <c r="A450" s="1735" t="s">
        <v>20</v>
      </c>
      <c r="B450" s="1739">
        <v>0</v>
      </c>
      <c r="C450" s="3101"/>
      <c r="D450" s="1762">
        <v>0</v>
      </c>
      <c r="E450" s="1737"/>
      <c r="F450" s="1762">
        <v>0</v>
      </c>
      <c r="G450" s="1737"/>
      <c r="H450" s="1762">
        <v>0</v>
      </c>
      <c r="I450" s="1737"/>
      <c r="J450" s="1762">
        <v>0</v>
      </c>
      <c r="K450" s="1760"/>
      <c r="L450" s="1762">
        <v>0</v>
      </c>
      <c r="M450" s="1760"/>
      <c r="N450" s="1761">
        <v>0</v>
      </c>
      <c r="O450" s="1760"/>
      <c r="P450" s="1761">
        <v>0</v>
      </c>
      <c r="Q450" s="1760"/>
      <c r="R450" s="1640">
        <v>0</v>
      </c>
      <c r="S450" s="1598"/>
      <c r="T450" s="3191"/>
      <c r="U450" s="77"/>
      <c r="V450" s="78"/>
      <c r="W450" s="77"/>
      <c r="X450" s="3192"/>
    </row>
    <row r="451" spans="1:24" s="1690" customFormat="1">
      <c r="A451" s="1735" t="s">
        <v>17</v>
      </c>
      <c r="B451" s="1739">
        <v>0</v>
      </c>
      <c r="C451" s="3101"/>
      <c r="D451" s="1762">
        <v>0</v>
      </c>
      <c r="E451" s="1737"/>
      <c r="F451" s="1762">
        <v>0</v>
      </c>
      <c r="G451" s="1737"/>
      <c r="H451" s="1762">
        <v>0</v>
      </c>
      <c r="I451" s="1737"/>
      <c r="J451" s="1762">
        <v>0</v>
      </c>
      <c r="K451" s="1760"/>
      <c r="L451" s="1762">
        <v>0</v>
      </c>
      <c r="M451" s="1760"/>
      <c r="N451" s="1761">
        <v>0</v>
      </c>
      <c r="O451" s="1760"/>
      <c r="P451" s="1761">
        <v>0</v>
      </c>
      <c r="Q451" s="1760"/>
      <c r="R451" s="1640">
        <v>0</v>
      </c>
      <c r="S451" s="1598"/>
      <c r="T451" s="3191"/>
      <c r="U451" s="77"/>
      <c r="V451" s="78"/>
      <c r="W451" s="77"/>
      <c r="X451" s="3192"/>
    </row>
    <row r="452" spans="1:24" s="1690" customFormat="1" ht="13.8" thickBot="1">
      <c r="A452" s="1641" t="s">
        <v>154</v>
      </c>
      <c r="B452" s="1740">
        <v>0</v>
      </c>
      <c r="C452" s="3107"/>
      <c r="D452" s="1763">
        <v>0</v>
      </c>
      <c r="E452" s="1741"/>
      <c r="F452" s="1763">
        <v>0</v>
      </c>
      <c r="G452" s="1741"/>
      <c r="H452" s="1763">
        <v>0</v>
      </c>
      <c r="I452" s="1741"/>
      <c r="J452" s="1763">
        <v>0</v>
      </c>
      <c r="K452" s="1764"/>
      <c r="L452" s="1763">
        <v>0</v>
      </c>
      <c r="M452" s="1764"/>
      <c r="N452" s="1763">
        <v>0</v>
      </c>
      <c r="O452" s="1764"/>
      <c r="P452" s="1763">
        <v>0</v>
      </c>
      <c r="Q452" s="1764"/>
      <c r="R452" s="1689">
        <v>0</v>
      </c>
      <c r="S452" s="1599"/>
      <c r="T452" s="3193"/>
      <c r="U452" s="3194"/>
      <c r="V452" s="3195"/>
      <c r="W452" s="3194"/>
      <c r="X452" s="3196"/>
    </row>
    <row r="453" spans="1:24" s="1690" customFormat="1">
      <c r="A453" s="1750" t="s">
        <v>23</v>
      </c>
      <c r="B453" s="123">
        <f>B441+B445+B449</f>
        <v>11920</v>
      </c>
      <c r="C453" s="124"/>
      <c r="D453" s="1601">
        <f>D441+D445+D449</f>
        <v>12148</v>
      </c>
      <c r="E453" s="124"/>
      <c r="F453" s="1601">
        <f>F441+F445+F449</f>
        <v>11712</v>
      </c>
      <c r="G453" s="124"/>
      <c r="H453" s="1601">
        <f>H441+H445+H449</f>
        <v>12510</v>
      </c>
      <c r="I453" s="124"/>
      <c r="J453" s="1601">
        <f>J441+J445+J449</f>
        <v>12375</v>
      </c>
      <c r="K453" s="124"/>
      <c r="L453" s="1601">
        <f>L441+L445+L449</f>
        <v>12612</v>
      </c>
      <c r="M453" s="124"/>
      <c r="N453" s="1601">
        <f>N441+N445+N449</f>
        <v>12612</v>
      </c>
      <c r="O453" s="124"/>
      <c r="P453" s="1597">
        <f>P441+P445+P449</f>
        <v>12612</v>
      </c>
      <c r="Q453" s="124"/>
      <c r="R453" s="122">
        <f>R441+R445+R449</f>
        <v>12864.24</v>
      </c>
      <c r="S453" s="124"/>
      <c r="T453" s="3197">
        <f t="shared" ref="T453" si="600">(((N453/B453)^(1/6)-1))</f>
        <v>9.4495476993790017E-3</v>
      </c>
      <c r="U453" s="1480"/>
      <c r="V453" s="1479">
        <f t="shared" si="597"/>
        <v>0</v>
      </c>
      <c r="W453" s="1480"/>
      <c r="X453" s="3198">
        <f t="shared" si="598"/>
        <v>1.9999999999999983E-2</v>
      </c>
    </row>
    <row r="454" spans="1:24" s="1690" customFormat="1" ht="8.25" customHeight="1" thickBot="1">
      <c r="A454" s="1742"/>
      <c r="B454" s="126"/>
      <c r="C454" s="3068"/>
      <c r="D454" s="1598"/>
      <c r="E454" s="1598"/>
      <c r="F454" s="1598"/>
      <c r="G454" s="1598"/>
      <c r="H454" s="1598"/>
      <c r="I454" s="1598"/>
      <c r="J454" s="1598"/>
      <c r="K454" s="1598"/>
      <c r="L454" s="1598"/>
      <c r="M454" s="1598"/>
      <c r="N454" s="1598"/>
      <c r="O454" s="1598"/>
      <c r="P454" s="1596"/>
      <c r="Q454" s="1598"/>
      <c r="R454" s="127"/>
      <c r="S454" s="1598"/>
      <c r="T454" s="84"/>
      <c r="U454" s="34"/>
      <c r="V454" s="34"/>
      <c r="W454" s="34"/>
      <c r="X454" s="42"/>
    </row>
    <row r="455" spans="1:24" s="1690" customFormat="1">
      <c r="A455" s="1733" t="s">
        <v>24</v>
      </c>
      <c r="B455" s="115"/>
      <c r="C455" s="3073"/>
      <c r="D455" s="116"/>
      <c r="E455" s="1600"/>
      <c r="F455" s="116"/>
      <c r="G455" s="1600"/>
      <c r="H455" s="117"/>
      <c r="I455" s="1600"/>
      <c r="J455" s="117"/>
      <c r="K455" s="1600"/>
      <c r="L455" s="117"/>
      <c r="M455" s="1600"/>
      <c r="N455" s="117"/>
      <c r="O455" s="1600"/>
      <c r="P455" s="118"/>
      <c r="Q455" s="1600"/>
      <c r="R455" s="119"/>
      <c r="S455" s="1600"/>
      <c r="T455" s="86"/>
      <c r="U455" s="45"/>
      <c r="V455" s="47"/>
      <c r="W455" s="45"/>
      <c r="X455" s="85"/>
    </row>
    <row r="456" spans="1:24" s="1690" customFormat="1">
      <c r="A456" s="1735" t="s">
        <v>19</v>
      </c>
      <c r="B456" s="1595">
        <f>SUM(B457:B459)</f>
        <v>6165.4000000000005</v>
      </c>
      <c r="C456" s="3065"/>
      <c r="D456" s="1597">
        <f>SUM(D457:D459)</f>
        <v>6347.1</v>
      </c>
      <c r="E456" s="1596"/>
      <c r="F456" s="1597">
        <f>SUM(F457:F459)</f>
        <v>6450.4</v>
      </c>
      <c r="G456" s="1596"/>
      <c r="H456" s="1597">
        <f>SUM(H457:H459)</f>
        <v>6904.1</v>
      </c>
      <c r="I456" s="1596"/>
      <c r="J456" s="1597">
        <f>SUM(J457:J459)</f>
        <v>6730.2000000000007</v>
      </c>
      <c r="K456" s="1596"/>
      <c r="L456" s="1597">
        <f>SUM(L457:L459)</f>
        <v>6621.2</v>
      </c>
      <c r="M456" s="1596"/>
      <c r="N456" s="1597">
        <f>SUM(N457:N459)</f>
        <v>6621.2</v>
      </c>
      <c r="O456" s="1596"/>
      <c r="P456" s="1597">
        <f>SUM(P457:P459)</f>
        <v>6621.2</v>
      </c>
      <c r="Q456" s="1596"/>
      <c r="R456" s="122">
        <f>SUM(R457:R459)</f>
        <v>6753.6239999999998</v>
      </c>
      <c r="S456" s="1596"/>
      <c r="T456" s="3188">
        <f>(((N456/B456)^(1/6)-1))</f>
        <v>1.1958201940478919E-2</v>
      </c>
      <c r="U456" s="25"/>
      <c r="V456" s="3189">
        <f>(P456-N456)/N456</f>
        <v>0</v>
      </c>
      <c r="W456" s="25"/>
      <c r="X456" s="3190">
        <f>(R456-P456)/P456</f>
        <v>1.9999999999999997E-2</v>
      </c>
    </row>
    <row r="457" spans="1:24" s="1690" customFormat="1">
      <c r="A457" s="1735" t="s">
        <v>20</v>
      </c>
      <c r="B457" s="1745">
        <v>5451.6</v>
      </c>
      <c r="C457" s="3115"/>
      <c r="D457" s="1767">
        <v>5466.1</v>
      </c>
      <c r="E457" s="1746"/>
      <c r="F457" s="1767">
        <v>5455</v>
      </c>
      <c r="G457" s="1746"/>
      <c r="H457" s="1767">
        <v>5810.8</v>
      </c>
      <c r="I457" s="1746"/>
      <c r="J457" s="1767">
        <v>5576.1</v>
      </c>
      <c r="K457" s="1760"/>
      <c r="L457" s="1767">
        <v>5239</v>
      </c>
      <c r="M457" s="1760"/>
      <c r="N457" s="1767">
        <v>5239</v>
      </c>
      <c r="O457" s="1760"/>
      <c r="P457" s="1767">
        <v>5239</v>
      </c>
      <c r="Q457" s="1760"/>
      <c r="R457" s="1654">
        <v>5343.78</v>
      </c>
      <c r="S457" s="1598"/>
      <c r="T457" s="3191">
        <f t="shared" ref="T457:T460" si="601">(((N457/B457)^(1/6)-1))</f>
        <v>-6.6078222146848109E-3</v>
      </c>
      <c r="U457" s="77"/>
      <c r="V457" s="78">
        <f t="shared" ref="V457:V462" si="602">(P457-N457)/N457</f>
        <v>0</v>
      </c>
      <c r="W457" s="77"/>
      <c r="X457" s="3192">
        <f t="shared" ref="X457:X462" si="603">(R457-P457)/P457</f>
        <v>1.9999999999999952E-2</v>
      </c>
    </row>
    <row r="458" spans="1:24" s="1690" customFormat="1">
      <c r="A458" s="1735" t="s">
        <v>17</v>
      </c>
      <c r="B458" s="1745">
        <v>713.8</v>
      </c>
      <c r="C458" s="3115"/>
      <c r="D458" s="1767">
        <v>881</v>
      </c>
      <c r="E458" s="1746"/>
      <c r="F458" s="1767">
        <v>995.4</v>
      </c>
      <c r="G458" s="1746"/>
      <c r="H458" s="1767">
        <v>1093.3</v>
      </c>
      <c r="I458" s="1746"/>
      <c r="J458" s="1767">
        <v>1154.0999999999999</v>
      </c>
      <c r="K458" s="1760"/>
      <c r="L458" s="1767">
        <v>1382.2</v>
      </c>
      <c r="M458" s="1760"/>
      <c r="N458" s="1767">
        <v>1382.2</v>
      </c>
      <c r="O458" s="1760"/>
      <c r="P458" s="1767">
        <v>1382.2</v>
      </c>
      <c r="Q458" s="1760"/>
      <c r="R458" s="1654">
        <v>1409.8440000000001</v>
      </c>
      <c r="S458" s="1598"/>
      <c r="T458" s="3191">
        <f t="shared" si="601"/>
        <v>0.116432295038988</v>
      </c>
      <c r="U458" s="77"/>
      <c r="V458" s="78">
        <f t="shared" si="602"/>
        <v>0</v>
      </c>
      <c r="W458" s="77"/>
      <c r="X458" s="3192">
        <f t="shared" si="603"/>
        <v>2.0000000000000004E-2</v>
      </c>
    </row>
    <row r="459" spans="1:24" s="1690" customFormat="1">
      <c r="A459" s="1735" t="s">
        <v>154</v>
      </c>
      <c r="B459" s="1745">
        <v>0</v>
      </c>
      <c r="C459" s="3115"/>
      <c r="D459" s="1767">
        <v>0</v>
      </c>
      <c r="E459" s="1746"/>
      <c r="F459" s="1767">
        <v>0</v>
      </c>
      <c r="G459" s="1746"/>
      <c r="H459" s="1767">
        <v>0</v>
      </c>
      <c r="I459" s="1746"/>
      <c r="J459" s="1767">
        <v>0</v>
      </c>
      <c r="K459" s="1760"/>
      <c r="L459" s="1767">
        <v>0</v>
      </c>
      <c r="M459" s="1760"/>
      <c r="N459" s="1767">
        <v>0</v>
      </c>
      <c r="O459" s="1760"/>
      <c r="P459" s="1767">
        <v>0</v>
      </c>
      <c r="Q459" s="1760"/>
      <c r="R459" s="1654">
        <v>0</v>
      </c>
      <c r="S459" s="1598"/>
      <c r="T459" s="3191"/>
      <c r="U459" s="77"/>
      <c r="V459" s="78"/>
      <c r="W459" s="77"/>
      <c r="X459" s="3192"/>
    </row>
    <row r="460" spans="1:24" s="1690" customFormat="1">
      <c r="A460" s="1735" t="s">
        <v>21</v>
      </c>
      <c r="B460" s="1595">
        <f>SUM(B461:B463)</f>
        <v>557.6</v>
      </c>
      <c r="C460" s="3065"/>
      <c r="D460" s="1597">
        <f>SUM(D461:D463)</f>
        <v>575</v>
      </c>
      <c r="E460" s="1596"/>
      <c r="F460" s="1597">
        <f>SUM(F461:F463)</f>
        <v>642.5</v>
      </c>
      <c r="G460" s="1596"/>
      <c r="H460" s="1597">
        <f>SUM(H461:H463)</f>
        <v>741.7</v>
      </c>
      <c r="I460" s="1596"/>
      <c r="J460" s="1597">
        <f>SUM(J461:J463)</f>
        <v>704.5</v>
      </c>
      <c r="K460" s="1596"/>
      <c r="L460" s="1597">
        <f>SUM(L461:L463)</f>
        <v>756.3</v>
      </c>
      <c r="M460" s="1596"/>
      <c r="N460" s="1597">
        <f>SUM(N461:N463)</f>
        <v>756.3</v>
      </c>
      <c r="O460" s="1596"/>
      <c r="P460" s="1597">
        <f>SUM(P461:P463)</f>
        <v>756.3</v>
      </c>
      <c r="Q460" s="1596"/>
      <c r="R460" s="122">
        <f>SUM(R461:R463)</f>
        <v>771.42599999999993</v>
      </c>
      <c r="S460" s="1598"/>
      <c r="T460" s="3197">
        <f t="shared" si="601"/>
        <v>5.2111794531990441E-2</v>
      </c>
      <c r="U460" s="1480"/>
      <c r="V460" s="1479">
        <f t="shared" si="602"/>
        <v>0</v>
      </c>
      <c r="W460" s="1480"/>
      <c r="X460" s="3198">
        <f t="shared" si="603"/>
        <v>1.9999999999999969E-2</v>
      </c>
    </row>
    <row r="461" spans="1:24" s="1690" customFormat="1">
      <c r="A461" s="1735" t="s">
        <v>20</v>
      </c>
      <c r="B461" s="1745">
        <v>405.1</v>
      </c>
      <c r="C461" s="1642"/>
      <c r="D461" s="1767">
        <v>410</v>
      </c>
      <c r="E461" s="1642"/>
      <c r="F461" s="1655">
        <v>445.1</v>
      </c>
      <c r="G461" s="1642"/>
      <c r="H461" s="1655">
        <v>502.5</v>
      </c>
      <c r="I461" s="1642"/>
      <c r="J461" s="1655">
        <v>467.7</v>
      </c>
      <c r="K461" s="1760"/>
      <c r="L461" s="1655">
        <v>504.2</v>
      </c>
      <c r="M461" s="1760"/>
      <c r="N461" s="1655">
        <v>504.2</v>
      </c>
      <c r="O461" s="1760"/>
      <c r="P461" s="1655">
        <v>504.2</v>
      </c>
      <c r="Q461" s="1760"/>
      <c r="R461" s="1652">
        <v>514.28399999999999</v>
      </c>
      <c r="S461" s="1598"/>
      <c r="T461" s="3191">
        <f>(((N461/B461)^(1/6)-1))</f>
        <v>3.7146484704452476E-2</v>
      </c>
      <c r="U461" s="77"/>
      <c r="V461" s="78">
        <f t="shared" si="602"/>
        <v>0</v>
      </c>
      <c r="W461" s="77"/>
      <c r="X461" s="3192">
        <f t="shared" si="603"/>
        <v>2.0000000000000007E-2</v>
      </c>
    </row>
    <row r="462" spans="1:24" s="1690" customFormat="1">
      <c r="A462" s="1735" t="s">
        <v>17</v>
      </c>
      <c r="B462" s="1745">
        <v>152.5</v>
      </c>
      <c r="C462" s="3115"/>
      <c r="D462" s="1767">
        <v>165</v>
      </c>
      <c r="E462" s="1746"/>
      <c r="F462" s="1767">
        <v>197.4</v>
      </c>
      <c r="G462" s="1746"/>
      <c r="H462" s="1767">
        <v>239.2</v>
      </c>
      <c r="I462" s="1746"/>
      <c r="J462" s="1767">
        <v>236.8</v>
      </c>
      <c r="K462" s="1760"/>
      <c r="L462" s="1767">
        <v>252.1</v>
      </c>
      <c r="M462" s="1760"/>
      <c r="N462" s="1767">
        <v>252.1</v>
      </c>
      <c r="O462" s="1760"/>
      <c r="P462" s="1767">
        <v>252.1</v>
      </c>
      <c r="Q462" s="1760"/>
      <c r="R462" s="1654">
        <v>257.142</v>
      </c>
      <c r="S462" s="1598"/>
      <c r="T462" s="3191">
        <f t="shared" ref="T462" si="604">(((N462/B462)^(1/6)-1))</f>
        <v>8.7386241535317488E-2</v>
      </c>
      <c r="U462" s="77"/>
      <c r="V462" s="78">
        <f t="shared" si="602"/>
        <v>0</v>
      </c>
      <c r="W462" s="77"/>
      <c r="X462" s="3192">
        <f t="shared" si="603"/>
        <v>2.0000000000000007E-2</v>
      </c>
    </row>
    <row r="463" spans="1:24" s="1690" customFormat="1">
      <c r="A463" s="1735" t="s">
        <v>154</v>
      </c>
      <c r="B463" s="1745">
        <v>0</v>
      </c>
      <c r="C463" s="3115"/>
      <c r="D463" s="1767">
        <v>0</v>
      </c>
      <c r="E463" s="1746"/>
      <c r="F463" s="1767">
        <v>0</v>
      </c>
      <c r="G463" s="1746"/>
      <c r="H463" s="1767">
        <v>0</v>
      </c>
      <c r="I463" s="1746"/>
      <c r="J463" s="1767">
        <v>0</v>
      </c>
      <c r="K463" s="1760"/>
      <c r="L463" s="1767">
        <v>0</v>
      </c>
      <c r="M463" s="1760"/>
      <c r="N463" s="1767">
        <v>0</v>
      </c>
      <c r="O463" s="1760"/>
      <c r="P463" s="1767">
        <v>0</v>
      </c>
      <c r="Q463" s="1760"/>
      <c r="R463" s="1654">
        <v>0</v>
      </c>
      <c r="S463" s="1598"/>
      <c r="T463" s="3191"/>
      <c r="U463" s="77"/>
      <c r="V463" s="78"/>
      <c r="W463" s="77"/>
      <c r="X463" s="3192"/>
    </row>
    <row r="464" spans="1:24" s="1690" customFormat="1">
      <c r="A464" s="1738" t="s">
        <v>22</v>
      </c>
      <c r="B464" s="1595">
        <f>SUM(B465:B467)</f>
        <v>0</v>
      </c>
      <c r="C464" s="3065"/>
      <c r="D464" s="1597">
        <f>SUM(D465:D467)</f>
        <v>0</v>
      </c>
      <c r="E464" s="1596"/>
      <c r="F464" s="1597">
        <f>SUM(F465:F467)</f>
        <v>0</v>
      </c>
      <c r="G464" s="1596"/>
      <c r="H464" s="1597">
        <f>SUM(H465:H467)</f>
        <v>0</v>
      </c>
      <c r="I464" s="1596"/>
      <c r="J464" s="1597">
        <f>SUM(J465:J467)</f>
        <v>0</v>
      </c>
      <c r="K464" s="1596"/>
      <c r="L464" s="1597">
        <f>SUM(L465:L467)</f>
        <v>0</v>
      </c>
      <c r="M464" s="1596"/>
      <c r="N464" s="1597">
        <f>SUM(N465:N467)</f>
        <v>0</v>
      </c>
      <c r="O464" s="1596"/>
      <c r="P464" s="1597">
        <f>SUM(P465:P467)</f>
        <v>0</v>
      </c>
      <c r="Q464" s="1596"/>
      <c r="R464" s="122">
        <f>SUM(R465:R467)</f>
        <v>0</v>
      </c>
      <c r="S464" s="1598"/>
      <c r="T464" s="3197">
        <v>0</v>
      </c>
      <c r="U464" s="1480"/>
      <c r="V464" s="1479">
        <v>0</v>
      </c>
      <c r="W464" s="1480"/>
      <c r="X464" s="3198">
        <v>0</v>
      </c>
    </row>
    <row r="465" spans="1:25" s="1690" customFormat="1">
      <c r="A465" s="1735" t="s">
        <v>20</v>
      </c>
      <c r="B465" s="1747">
        <v>0</v>
      </c>
      <c r="C465" s="3115"/>
      <c r="D465" s="1768">
        <v>0</v>
      </c>
      <c r="E465" s="1746"/>
      <c r="F465" s="1768">
        <v>0</v>
      </c>
      <c r="G465" s="1746"/>
      <c r="H465" s="1768">
        <v>0</v>
      </c>
      <c r="I465" s="1746"/>
      <c r="J465" s="1768">
        <v>0</v>
      </c>
      <c r="K465" s="1760"/>
      <c r="L465" s="1768">
        <v>0</v>
      </c>
      <c r="M465" s="1760"/>
      <c r="N465" s="1768">
        <v>0</v>
      </c>
      <c r="O465" s="1760"/>
      <c r="P465" s="1768">
        <v>0</v>
      </c>
      <c r="Q465" s="1760"/>
      <c r="R465" s="1646">
        <v>0</v>
      </c>
      <c r="S465" s="1598"/>
      <c r="T465" s="3191"/>
      <c r="U465" s="77"/>
      <c r="V465" s="78"/>
      <c r="W465" s="77"/>
      <c r="X465" s="3192"/>
    </row>
    <row r="466" spans="1:25" s="1690" customFormat="1">
      <c r="A466" s="1735" t="s">
        <v>17</v>
      </c>
      <c r="B466" s="1747">
        <v>0</v>
      </c>
      <c r="C466" s="3115"/>
      <c r="D466" s="1768">
        <v>0</v>
      </c>
      <c r="E466" s="1746"/>
      <c r="F466" s="1768">
        <v>0</v>
      </c>
      <c r="G466" s="1746"/>
      <c r="H466" s="1768">
        <v>0</v>
      </c>
      <c r="I466" s="1746"/>
      <c r="J466" s="1768">
        <v>0</v>
      </c>
      <c r="K466" s="1760"/>
      <c r="L466" s="1768">
        <v>0</v>
      </c>
      <c r="M466" s="1760"/>
      <c r="N466" s="1768">
        <v>0</v>
      </c>
      <c r="O466" s="1760"/>
      <c r="P466" s="1768">
        <v>0</v>
      </c>
      <c r="Q466" s="1760"/>
      <c r="R466" s="1646">
        <v>0</v>
      </c>
      <c r="S466" s="1598"/>
      <c r="T466" s="3191"/>
      <c r="U466" s="77"/>
      <c r="V466" s="78"/>
      <c r="W466" s="77"/>
      <c r="X466" s="3192"/>
    </row>
    <row r="467" spans="1:25" s="1690" customFormat="1" ht="13.8" thickBot="1">
      <c r="A467" s="102" t="s">
        <v>154</v>
      </c>
      <c r="B467" s="1748">
        <v>0</v>
      </c>
      <c r="C467" s="2666"/>
      <c r="D467" s="1769">
        <v>0</v>
      </c>
      <c r="E467" s="1749"/>
      <c r="F467" s="1769">
        <v>0</v>
      </c>
      <c r="G467" s="1749"/>
      <c r="H467" s="1769">
        <v>0</v>
      </c>
      <c r="I467" s="1749"/>
      <c r="J467" s="1769">
        <v>0</v>
      </c>
      <c r="K467" s="1764"/>
      <c r="L467" s="1769">
        <v>0</v>
      </c>
      <c r="M467" s="1764"/>
      <c r="N467" s="1769">
        <v>0</v>
      </c>
      <c r="O467" s="1764"/>
      <c r="P467" s="1769">
        <v>0</v>
      </c>
      <c r="Q467" s="1764"/>
      <c r="R467" s="1656">
        <v>0</v>
      </c>
      <c r="S467" s="1599"/>
      <c r="T467" s="3193"/>
      <c r="U467" s="3194"/>
      <c r="V467" s="3195"/>
      <c r="W467" s="3194"/>
      <c r="X467" s="3196"/>
    </row>
    <row r="468" spans="1:25" s="1690" customFormat="1" ht="13.8" thickTop="1">
      <c r="A468" s="1750" t="s">
        <v>25</v>
      </c>
      <c r="B468" s="123">
        <f>B456+B460+B464</f>
        <v>6723.0000000000009</v>
      </c>
      <c r="C468" s="124"/>
      <c r="D468" s="1601">
        <f>D456+D460+D464</f>
        <v>6922.1</v>
      </c>
      <c r="E468" s="124"/>
      <c r="F468" s="1601">
        <f>F456+F460+F464</f>
        <v>7092.9</v>
      </c>
      <c r="G468" s="124"/>
      <c r="H468" s="1601">
        <f>H456+H460+H464</f>
        <v>7645.8</v>
      </c>
      <c r="I468" s="124"/>
      <c r="J468" s="1601">
        <f>J456+J460+J464</f>
        <v>7434.7000000000007</v>
      </c>
      <c r="K468" s="124"/>
      <c r="L468" s="1601">
        <f>L456+L460+L464</f>
        <v>7377.5</v>
      </c>
      <c r="M468" s="124"/>
      <c r="N468" s="1601">
        <f>N456+N460+N464</f>
        <v>7377.5</v>
      </c>
      <c r="O468" s="124"/>
      <c r="P468" s="1597">
        <f>P456+P460+P464</f>
        <v>7377.5</v>
      </c>
      <c r="Q468" s="124"/>
      <c r="R468" s="122">
        <f>R456+R460+R464</f>
        <v>7525.0499999999993</v>
      </c>
      <c r="S468" s="124"/>
      <c r="T468" s="3197">
        <f t="shared" ref="T468" si="605">(((N468/B468)^(1/6)-1))</f>
        <v>1.5603879473769622E-2</v>
      </c>
      <c r="U468" s="1480"/>
      <c r="V468" s="1479">
        <f t="shared" ref="V468" si="606">(P468-N468)/N468</f>
        <v>0</v>
      </c>
      <c r="W468" s="1480"/>
      <c r="X468" s="3198">
        <f t="shared" ref="X468" si="607">(R468-P468)/P468</f>
        <v>1.99999999999999E-2</v>
      </c>
    </row>
    <row r="469" spans="1:25" s="1690" customFormat="1" ht="8.25" customHeight="1" thickBot="1">
      <c r="A469" s="1742"/>
      <c r="B469" s="126"/>
      <c r="C469" s="3068"/>
      <c r="D469" s="1598"/>
      <c r="E469" s="1598"/>
      <c r="F469" s="1598"/>
      <c r="G469" s="1598"/>
      <c r="H469" s="1598"/>
      <c r="I469" s="1598"/>
      <c r="J469" s="1598"/>
      <c r="K469" s="1598"/>
      <c r="L469" s="1598"/>
      <c r="M469" s="1598"/>
      <c r="N469" s="1598"/>
      <c r="O469" s="1598"/>
      <c r="P469" s="1596"/>
      <c r="Q469" s="1598"/>
      <c r="R469" s="127"/>
      <c r="S469" s="1598"/>
      <c r="T469" s="84"/>
      <c r="U469" s="34"/>
      <c r="V469" s="34"/>
      <c r="W469" s="34"/>
      <c r="X469" s="42"/>
    </row>
    <row r="470" spans="1:25" s="1690" customFormat="1">
      <c r="A470" s="1733" t="s">
        <v>78</v>
      </c>
      <c r="B470" s="1743"/>
      <c r="C470" s="3097"/>
      <c r="D470" s="1744"/>
      <c r="E470" s="1766"/>
      <c r="F470" s="1744"/>
      <c r="G470" s="1766"/>
      <c r="H470" s="1765"/>
      <c r="I470" s="1766"/>
      <c r="J470" s="1765"/>
      <c r="K470" s="1766"/>
      <c r="L470" s="1765"/>
      <c r="M470" s="1766"/>
      <c r="N470" s="1765"/>
      <c r="O470" s="1766"/>
      <c r="P470" s="1734"/>
      <c r="Q470" s="1766"/>
      <c r="R470" s="1628"/>
      <c r="S470" s="1600"/>
      <c r="T470" s="86"/>
      <c r="U470" s="45"/>
      <c r="V470" s="47"/>
      <c r="W470" s="45"/>
      <c r="X470" s="85"/>
    </row>
    <row r="471" spans="1:25" s="1690" customFormat="1">
      <c r="A471" s="1738" t="s">
        <v>79</v>
      </c>
      <c r="B471" s="1751">
        <v>93</v>
      </c>
      <c r="C471" s="3119"/>
      <c r="D471" s="1753">
        <v>99</v>
      </c>
      <c r="E471" s="1752"/>
      <c r="F471" s="1753">
        <v>100</v>
      </c>
      <c r="G471" s="1752"/>
      <c r="H471" s="1770">
        <v>481</v>
      </c>
      <c r="I471" s="1752"/>
      <c r="J471" s="1770">
        <v>433</v>
      </c>
      <c r="K471" s="1758"/>
      <c r="L471" s="1770">
        <v>648</v>
      </c>
      <c r="M471" s="1758"/>
      <c r="N471" s="1770">
        <v>648</v>
      </c>
      <c r="O471" s="1758"/>
      <c r="P471" s="1770">
        <v>648</v>
      </c>
      <c r="Q471" s="1758"/>
      <c r="R471" s="1648">
        <v>660.96</v>
      </c>
      <c r="S471" s="1596"/>
      <c r="T471" s="3191">
        <f t="shared" ref="T471:T472" si="608">(((N471/B471)^(1/6)-1))</f>
        <v>0.38202322957128332</v>
      </c>
      <c r="U471" s="77"/>
      <c r="V471" s="78">
        <f t="shared" ref="V471:V472" si="609">(P471-N471)/N471</f>
        <v>0</v>
      </c>
      <c r="W471" s="77"/>
      <c r="X471" s="3192">
        <f t="shared" ref="X471:X472" si="610">(R471-P471)/P471</f>
        <v>2.0000000000000056E-2</v>
      </c>
    </row>
    <row r="472" spans="1:25" s="1690" customFormat="1" ht="13.8" thickBot="1">
      <c r="A472" s="1754" t="s">
        <v>80</v>
      </c>
      <c r="B472" s="1755">
        <v>20</v>
      </c>
      <c r="C472" s="3125"/>
      <c r="D472" s="1757">
        <v>17.399999999999999</v>
      </c>
      <c r="E472" s="1756"/>
      <c r="F472" s="1757">
        <v>17.100000000000001</v>
      </c>
      <c r="G472" s="1756"/>
      <c r="H472" s="1771">
        <v>88.2</v>
      </c>
      <c r="I472" s="1756"/>
      <c r="J472" s="1771">
        <v>84.3</v>
      </c>
      <c r="K472" s="1772"/>
      <c r="L472" s="1771">
        <v>103.3</v>
      </c>
      <c r="M472" s="1772"/>
      <c r="N472" s="1771">
        <v>103.3</v>
      </c>
      <c r="O472" s="1772"/>
      <c r="P472" s="1771">
        <v>103.3</v>
      </c>
      <c r="Q472" s="1772"/>
      <c r="R472" s="1653">
        <v>105.366</v>
      </c>
      <c r="S472" s="97"/>
      <c r="T472" s="3191">
        <f t="shared" si="608"/>
        <v>0.31475567571080365</v>
      </c>
      <c r="U472" s="77"/>
      <c r="V472" s="78">
        <f t="shared" si="609"/>
        <v>0</v>
      </c>
      <c r="W472" s="77"/>
      <c r="X472" s="3192">
        <f t="shared" si="610"/>
        <v>2.0000000000000025E-2</v>
      </c>
      <c r="Y472" s="3259"/>
    </row>
    <row r="473" spans="1:25" s="1712" customFormat="1" ht="13.8" thickBot="1">
      <c r="A473" s="111"/>
      <c r="B473" s="112"/>
      <c r="C473" s="112"/>
      <c r="D473" s="112"/>
      <c r="E473" s="112"/>
      <c r="F473" s="113"/>
      <c r="G473" s="112"/>
      <c r="H473" s="112"/>
      <c r="I473" s="112"/>
      <c r="J473" s="112"/>
      <c r="K473" s="112"/>
      <c r="L473" s="112"/>
      <c r="M473" s="112"/>
      <c r="N473" s="112"/>
      <c r="O473" s="112"/>
      <c r="P473" s="112"/>
      <c r="Q473" s="112"/>
      <c r="R473" s="112"/>
      <c r="S473" s="112"/>
      <c r="T473" s="112"/>
      <c r="U473" s="112"/>
      <c r="V473" s="112"/>
      <c r="W473" s="112"/>
      <c r="X473" s="112"/>
    </row>
    <row r="474" spans="1:25" s="1722" customFormat="1">
      <c r="A474" s="114" t="s">
        <v>205</v>
      </c>
      <c r="B474" s="1713" t="s">
        <v>13</v>
      </c>
      <c r="C474" s="3051"/>
      <c r="D474" s="1715" t="s">
        <v>13</v>
      </c>
      <c r="E474" s="1714"/>
      <c r="F474" s="1716" t="s">
        <v>13</v>
      </c>
      <c r="G474" s="1714"/>
      <c r="H474" s="1716" t="s">
        <v>13</v>
      </c>
      <c r="I474" s="1714"/>
      <c r="J474" s="1716" t="s">
        <v>13</v>
      </c>
      <c r="K474" s="1714"/>
      <c r="L474" s="1717" t="s">
        <v>14</v>
      </c>
      <c r="M474" s="1714"/>
      <c r="N474" s="1717" t="s">
        <v>15</v>
      </c>
      <c r="O474" s="1714"/>
      <c r="P474" s="1718" t="s">
        <v>16</v>
      </c>
      <c r="Q474" s="1714"/>
      <c r="R474" s="1611" t="s">
        <v>16</v>
      </c>
      <c r="S474" s="1714"/>
      <c r="T474" s="1612" t="s">
        <v>62</v>
      </c>
      <c r="U474" s="1720"/>
      <c r="V474" s="1719" t="s">
        <v>75</v>
      </c>
      <c r="W474" s="1720"/>
      <c r="X474" s="1721" t="s">
        <v>75</v>
      </c>
    </row>
    <row r="475" spans="1:25" s="1722" customFormat="1" ht="13.8" thickBot="1">
      <c r="A475" s="1723"/>
      <c r="B475" s="1724" t="s">
        <v>3</v>
      </c>
      <c r="C475" s="3053"/>
      <c r="D475" s="1726" t="s">
        <v>4</v>
      </c>
      <c r="E475" s="1725"/>
      <c r="F475" s="1727" t="s">
        <v>5</v>
      </c>
      <c r="G475" s="1725"/>
      <c r="H475" s="1728" t="s">
        <v>6</v>
      </c>
      <c r="I475" s="1725"/>
      <c r="J475" s="1728" t="s">
        <v>7</v>
      </c>
      <c r="K475" s="1725"/>
      <c r="L475" s="1728" t="s">
        <v>8</v>
      </c>
      <c r="M475" s="1725"/>
      <c r="N475" s="1728" t="s">
        <v>9</v>
      </c>
      <c r="O475" s="1725"/>
      <c r="P475" s="1729" t="s">
        <v>10</v>
      </c>
      <c r="Q475" s="1725"/>
      <c r="R475" s="1623" t="s">
        <v>11</v>
      </c>
      <c r="S475" s="1725"/>
      <c r="T475" s="1624" t="s">
        <v>63</v>
      </c>
      <c r="U475" s="1731"/>
      <c r="V475" s="1730" t="s">
        <v>76</v>
      </c>
      <c r="W475" s="1731"/>
      <c r="X475" s="1732" t="s">
        <v>77</v>
      </c>
    </row>
    <row r="476" spans="1:25" s="1712" customFormat="1">
      <c r="A476" s="2191" t="s">
        <v>81</v>
      </c>
      <c r="B476" s="115"/>
      <c r="C476" s="3073"/>
      <c r="D476" s="116"/>
      <c r="E476" s="1867"/>
      <c r="F476" s="116"/>
      <c r="G476" s="1867"/>
      <c r="H476" s="117"/>
      <c r="I476" s="1867"/>
      <c r="J476" s="117"/>
      <c r="K476" s="1867"/>
      <c r="L476" s="117"/>
      <c r="M476" s="1867"/>
      <c r="N476" s="117"/>
      <c r="O476" s="1867"/>
      <c r="P476" s="118"/>
      <c r="Q476" s="1867"/>
      <c r="R476" s="119"/>
      <c r="S476" s="1600"/>
      <c r="T476" s="120"/>
      <c r="U476" s="1600"/>
      <c r="V476" s="117"/>
      <c r="W476" s="1600"/>
      <c r="X476" s="121"/>
    </row>
    <row r="477" spans="1:25" s="1712" customFormat="1">
      <c r="A477" s="2297" t="s">
        <v>19</v>
      </c>
      <c r="B477" s="2298">
        <f>SUM(B478:B480)</f>
        <v>13412</v>
      </c>
      <c r="C477" s="3065"/>
      <c r="D477" s="2300">
        <f>SUM(D478:D480)</f>
        <v>13635</v>
      </c>
      <c r="E477" s="2299"/>
      <c r="F477" s="2300">
        <f>SUM(F478:F480)</f>
        <v>14571</v>
      </c>
      <c r="G477" s="2299"/>
      <c r="H477" s="2300">
        <f>SUM(H478:H480)</f>
        <v>15799</v>
      </c>
      <c r="I477" s="2299"/>
      <c r="J477" s="2300">
        <f>SUM(J478:J480)</f>
        <v>15920</v>
      </c>
      <c r="K477" s="2299"/>
      <c r="L477" s="2300">
        <f>SUM(L478:L480)</f>
        <v>16091</v>
      </c>
      <c r="M477" s="2299"/>
      <c r="N477" s="2300">
        <f>SUM(N478:N480)</f>
        <v>16091</v>
      </c>
      <c r="O477" s="2299"/>
      <c r="P477" s="2300">
        <f>SUM(P478:P480)</f>
        <v>16091</v>
      </c>
      <c r="Q477" s="2299"/>
      <c r="R477" s="122">
        <f>SUM(R478:R480)</f>
        <v>16091</v>
      </c>
      <c r="S477" s="1596"/>
      <c r="T477" s="3188">
        <f>(((N477/B477)^(1/6)-1))</f>
        <v>3.0817022444745934E-2</v>
      </c>
      <c r="U477" s="25"/>
      <c r="V477" s="3189">
        <f>(P477-N477)/N477</f>
        <v>0</v>
      </c>
      <c r="W477" s="25"/>
      <c r="X477" s="3190">
        <f>(R477-P477)/P477</f>
        <v>0</v>
      </c>
    </row>
    <row r="478" spans="1:25" s="1712" customFormat="1">
      <c r="A478" s="2297" t="s">
        <v>20</v>
      </c>
      <c r="B478" s="2194">
        <v>12815</v>
      </c>
      <c r="C478" s="3101"/>
      <c r="D478" s="2230">
        <v>13053</v>
      </c>
      <c r="E478" s="2195"/>
      <c r="F478" s="2230">
        <v>13937</v>
      </c>
      <c r="G478" s="2195"/>
      <c r="H478" s="2230">
        <v>15152</v>
      </c>
      <c r="I478" s="2195"/>
      <c r="J478" s="2230">
        <v>15092</v>
      </c>
      <c r="K478" s="2302"/>
      <c r="L478" s="2230">
        <v>15389</v>
      </c>
      <c r="M478" s="2302"/>
      <c r="N478" s="2230">
        <v>15389</v>
      </c>
      <c r="O478" s="2302"/>
      <c r="P478" s="2230">
        <v>15389</v>
      </c>
      <c r="Q478" s="2302"/>
      <c r="R478" s="1645">
        <v>15389</v>
      </c>
      <c r="S478" s="1598"/>
      <c r="T478" s="3191">
        <f t="shared" ref="T478:T481" si="611">(((N478/B478)^(1/6)-1))</f>
        <v>3.0976180473309745E-2</v>
      </c>
      <c r="U478" s="77"/>
      <c r="V478" s="78">
        <f t="shared" ref="V478:V489" si="612">(P478-N478)/N478</f>
        <v>0</v>
      </c>
      <c r="W478" s="77"/>
      <c r="X478" s="3192">
        <f t="shared" ref="X478:X489" si="613">(R478-P478)/P478</f>
        <v>0</v>
      </c>
    </row>
    <row r="479" spans="1:25" s="1712" customFormat="1">
      <c r="A479" s="2297" t="s">
        <v>17</v>
      </c>
      <c r="B479" s="2194">
        <v>597</v>
      </c>
      <c r="C479" s="3101"/>
      <c r="D479" s="2230">
        <v>582</v>
      </c>
      <c r="E479" s="2195"/>
      <c r="F479" s="2230">
        <v>634</v>
      </c>
      <c r="G479" s="2195"/>
      <c r="H479" s="2230">
        <v>647</v>
      </c>
      <c r="I479" s="2195"/>
      <c r="J479" s="2230">
        <v>828</v>
      </c>
      <c r="K479" s="2302"/>
      <c r="L479" s="2230">
        <v>702</v>
      </c>
      <c r="M479" s="2302"/>
      <c r="N479" s="2230">
        <v>702</v>
      </c>
      <c r="O479" s="2302"/>
      <c r="P479" s="2230">
        <v>702</v>
      </c>
      <c r="Q479" s="2302"/>
      <c r="R479" s="1645">
        <v>702</v>
      </c>
      <c r="S479" s="1598"/>
      <c r="T479" s="3191">
        <f t="shared" si="611"/>
        <v>2.7370592179283726E-2</v>
      </c>
      <c r="U479" s="77"/>
      <c r="V479" s="78">
        <f t="shared" si="612"/>
        <v>0</v>
      </c>
      <c r="W479" s="77"/>
      <c r="X479" s="3192">
        <f t="shared" si="613"/>
        <v>0</v>
      </c>
    </row>
    <row r="480" spans="1:25" s="1712" customFormat="1">
      <c r="A480" s="2297" t="s">
        <v>154</v>
      </c>
      <c r="B480" s="2194">
        <v>0</v>
      </c>
      <c r="C480" s="3101"/>
      <c r="D480" s="2230">
        <v>0</v>
      </c>
      <c r="E480" s="2195"/>
      <c r="F480" s="2230">
        <v>0</v>
      </c>
      <c r="G480" s="2195"/>
      <c r="H480" s="2230">
        <v>0</v>
      </c>
      <c r="I480" s="2195"/>
      <c r="J480" s="2230">
        <v>0</v>
      </c>
      <c r="K480" s="2302"/>
      <c r="L480" s="2230">
        <v>0</v>
      </c>
      <c r="M480" s="2302"/>
      <c r="N480" s="2230">
        <v>0</v>
      </c>
      <c r="O480" s="2302"/>
      <c r="P480" s="2230">
        <v>0</v>
      </c>
      <c r="Q480" s="2302"/>
      <c r="R480" s="1645">
        <v>0</v>
      </c>
      <c r="S480" s="1598"/>
      <c r="T480" s="3191"/>
      <c r="U480" s="77"/>
      <c r="V480" s="78"/>
      <c r="W480" s="77"/>
      <c r="X480" s="3192"/>
    </row>
    <row r="481" spans="1:24" s="1712" customFormat="1">
      <c r="A481" s="2297" t="s">
        <v>21</v>
      </c>
      <c r="B481" s="2298">
        <f>SUM(B482:B484)</f>
        <v>1387</v>
      </c>
      <c r="C481" s="3065"/>
      <c r="D481" s="2300">
        <f>SUM(D482:D484)</f>
        <v>1422</v>
      </c>
      <c r="E481" s="2299"/>
      <c r="F481" s="2300">
        <f>SUM(F482:F484)</f>
        <v>1374</v>
      </c>
      <c r="G481" s="2299"/>
      <c r="H481" s="2300">
        <f>SUM(H482:H484)</f>
        <v>1441</v>
      </c>
      <c r="I481" s="2299"/>
      <c r="J481" s="2300">
        <f>SUM(J482:J484)</f>
        <v>1283</v>
      </c>
      <c r="K481" s="2299"/>
      <c r="L481" s="2300">
        <f>SUM(L482:L484)</f>
        <v>1004</v>
      </c>
      <c r="M481" s="2299"/>
      <c r="N481" s="2300">
        <f>SUM(N482:N484)</f>
        <v>1004</v>
      </c>
      <c r="O481" s="2299"/>
      <c r="P481" s="2300">
        <f>SUM(P482:P484)</f>
        <v>1004</v>
      </c>
      <c r="Q481" s="2299"/>
      <c r="R481" s="122">
        <f>SUM(R482:R484)</f>
        <v>1004</v>
      </c>
      <c r="S481" s="1598"/>
      <c r="T481" s="3197">
        <f t="shared" si="611"/>
        <v>-5.2433841331120723E-2</v>
      </c>
      <c r="U481" s="1480"/>
      <c r="V481" s="1479">
        <f t="shared" si="612"/>
        <v>0</v>
      </c>
      <c r="W481" s="1480"/>
      <c r="X481" s="3198">
        <f t="shared" si="613"/>
        <v>0</v>
      </c>
    </row>
    <row r="482" spans="1:24" s="1712" customFormat="1">
      <c r="A482" s="2297" t="s">
        <v>20</v>
      </c>
      <c r="B482" s="2194">
        <v>1339</v>
      </c>
      <c r="C482" s="3101"/>
      <c r="D482" s="2230">
        <v>1372</v>
      </c>
      <c r="E482" s="2195"/>
      <c r="F482" s="2230">
        <v>1320</v>
      </c>
      <c r="G482" s="2195"/>
      <c r="H482" s="2230">
        <v>1371</v>
      </c>
      <c r="I482" s="2195"/>
      <c r="J482" s="2230">
        <v>1184</v>
      </c>
      <c r="K482" s="2302"/>
      <c r="L482" s="2230">
        <v>945</v>
      </c>
      <c r="M482" s="2302"/>
      <c r="N482" s="2230">
        <v>945</v>
      </c>
      <c r="O482" s="2302"/>
      <c r="P482" s="2230">
        <v>945</v>
      </c>
      <c r="Q482" s="2302"/>
      <c r="R482" s="1645">
        <v>945</v>
      </c>
      <c r="S482" s="1598"/>
      <c r="T482" s="3191">
        <f>(((N482/B482)^(1/6)-1))</f>
        <v>-5.642765171509978E-2</v>
      </c>
      <c r="U482" s="77"/>
      <c r="V482" s="78">
        <f t="shared" si="612"/>
        <v>0</v>
      </c>
      <c r="W482" s="77"/>
      <c r="X482" s="3192">
        <f t="shared" si="613"/>
        <v>0</v>
      </c>
    </row>
    <row r="483" spans="1:24" s="1712" customFormat="1">
      <c r="A483" s="2297" t="s">
        <v>17</v>
      </c>
      <c r="B483" s="2194">
        <v>48</v>
      </c>
      <c r="C483" s="3101"/>
      <c r="D483" s="2230">
        <v>50</v>
      </c>
      <c r="E483" s="2195"/>
      <c r="F483" s="2230">
        <v>54</v>
      </c>
      <c r="G483" s="2195"/>
      <c r="H483" s="2230">
        <v>70</v>
      </c>
      <c r="I483" s="2195"/>
      <c r="J483" s="2230">
        <v>99</v>
      </c>
      <c r="K483" s="2302"/>
      <c r="L483" s="2230">
        <v>59</v>
      </c>
      <c r="M483" s="2302"/>
      <c r="N483" s="2230">
        <v>59</v>
      </c>
      <c r="O483" s="2302"/>
      <c r="P483" s="2230">
        <v>59</v>
      </c>
      <c r="Q483" s="2302"/>
      <c r="R483" s="1645">
        <v>59</v>
      </c>
      <c r="S483" s="1598"/>
      <c r="T483" s="3191">
        <f t="shared" ref="T483" si="614">(((N483/B483)^(1/6)-1))</f>
        <v>3.4987558114469852E-2</v>
      </c>
      <c r="U483" s="77"/>
      <c r="V483" s="78">
        <f t="shared" si="612"/>
        <v>0</v>
      </c>
      <c r="W483" s="77"/>
      <c r="X483" s="3192">
        <f t="shared" si="613"/>
        <v>0</v>
      </c>
    </row>
    <row r="484" spans="1:24" s="1712" customFormat="1">
      <c r="A484" s="2297" t="s">
        <v>154</v>
      </c>
      <c r="B484" s="2194">
        <v>0</v>
      </c>
      <c r="C484" s="3101"/>
      <c r="D484" s="2230">
        <v>0</v>
      </c>
      <c r="E484" s="2195"/>
      <c r="F484" s="2230">
        <v>0</v>
      </c>
      <c r="G484" s="2195"/>
      <c r="H484" s="2230">
        <v>0</v>
      </c>
      <c r="I484" s="2195"/>
      <c r="J484" s="2230">
        <v>0</v>
      </c>
      <c r="K484" s="2302"/>
      <c r="L484" s="2230">
        <v>0</v>
      </c>
      <c r="M484" s="2302"/>
      <c r="N484" s="2230">
        <v>0</v>
      </c>
      <c r="O484" s="2302"/>
      <c r="P484" s="2230">
        <v>0</v>
      </c>
      <c r="Q484" s="2302"/>
      <c r="R484" s="1645">
        <v>0</v>
      </c>
      <c r="S484" s="1598"/>
      <c r="T484" s="3191"/>
      <c r="U484" s="77"/>
      <c r="V484" s="78"/>
      <c r="W484" s="77"/>
      <c r="X484" s="3192"/>
    </row>
    <row r="485" spans="1:24" s="1712" customFormat="1">
      <c r="A485" s="2196" t="s">
        <v>22</v>
      </c>
      <c r="B485" s="2298">
        <f>SUM(B486:B488)</f>
        <v>0</v>
      </c>
      <c r="C485" s="3065"/>
      <c r="D485" s="2300">
        <f>SUM(D486:D488)</f>
        <v>0</v>
      </c>
      <c r="E485" s="2299"/>
      <c r="F485" s="2300">
        <f>SUM(F486:F488)</f>
        <v>0</v>
      </c>
      <c r="G485" s="2299"/>
      <c r="H485" s="2300">
        <f>SUM(H486:H488)</f>
        <v>0</v>
      </c>
      <c r="I485" s="2299"/>
      <c r="J485" s="2300">
        <f>SUM(J486:J488)</f>
        <v>0</v>
      </c>
      <c r="K485" s="2299"/>
      <c r="L485" s="2300">
        <f>SUM(L486:L488)</f>
        <v>0</v>
      </c>
      <c r="M485" s="2299"/>
      <c r="N485" s="2300">
        <f>SUM(N486:N488)</f>
        <v>0</v>
      </c>
      <c r="O485" s="2299"/>
      <c r="P485" s="2300">
        <f>SUM(P486:P488)</f>
        <v>0</v>
      </c>
      <c r="Q485" s="2299"/>
      <c r="R485" s="122">
        <f>SUM(R486:R488)</f>
        <v>0</v>
      </c>
      <c r="S485" s="1598"/>
      <c r="T485" s="3197">
        <v>0</v>
      </c>
      <c r="U485" s="1480"/>
      <c r="V485" s="1479">
        <v>0</v>
      </c>
      <c r="W485" s="1480"/>
      <c r="X485" s="3198">
        <v>0</v>
      </c>
    </row>
    <row r="486" spans="1:24" s="1712" customFormat="1">
      <c r="A486" s="2297" t="s">
        <v>20</v>
      </c>
      <c r="B486" s="2197">
        <v>0</v>
      </c>
      <c r="C486" s="3101"/>
      <c r="D486" s="2232">
        <v>0</v>
      </c>
      <c r="E486" s="2195"/>
      <c r="F486" s="2232">
        <v>0</v>
      </c>
      <c r="G486" s="2195"/>
      <c r="H486" s="2232">
        <v>0</v>
      </c>
      <c r="I486" s="2195"/>
      <c r="J486" s="2232">
        <v>0</v>
      </c>
      <c r="K486" s="2302"/>
      <c r="L486" s="2232">
        <v>0</v>
      </c>
      <c r="M486" s="2302"/>
      <c r="N486" s="2231">
        <v>0</v>
      </c>
      <c r="O486" s="2302"/>
      <c r="P486" s="2231">
        <v>0</v>
      </c>
      <c r="Q486" s="2302"/>
      <c r="R486" s="1640">
        <v>0</v>
      </c>
      <c r="S486" s="1598"/>
      <c r="T486" s="3191"/>
      <c r="U486" s="77"/>
      <c r="V486" s="78"/>
      <c r="W486" s="77"/>
      <c r="X486" s="3192"/>
    </row>
    <row r="487" spans="1:24" s="1712" customFormat="1">
      <c r="A487" s="2297" t="s">
        <v>17</v>
      </c>
      <c r="B487" s="2197">
        <v>0</v>
      </c>
      <c r="C487" s="3101"/>
      <c r="D487" s="2232">
        <v>0</v>
      </c>
      <c r="E487" s="2195"/>
      <c r="F487" s="2232">
        <v>0</v>
      </c>
      <c r="G487" s="2195"/>
      <c r="H487" s="2232">
        <v>0</v>
      </c>
      <c r="I487" s="2195"/>
      <c r="J487" s="2232">
        <v>0</v>
      </c>
      <c r="K487" s="2302"/>
      <c r="L487" s="2232">
        <v>0</v>
      </c>
      <c r="M487" s="2302"/>
      <c r="N487" s="2231">
        <v>0</v>
      </c>
      <c r="O487" s="2302"/>
      <c r="P487" s="2231">
        <v>0</v>
      </c>
      <c r="Q487" s="2302"/>
      <c r="R487" s="1640">
        <v>0</v>
      </c>
      <c r="S487" s="1598"/>
      <c r="T487" s="3191"/>
      <c r="U487" s="77"/>
      <c r="V487" s="78"/>
      <c r="W487" s="77"/>
      <c r="X487" s="3192"/>
    </row>
    <row r="488" spans="1:24" s="1712" customFormat="1" ht="13.8" thickBot="1">
      <c r="A488" s="1641" t="s">
        <v>154</v>
      </c>
      <c r="B488" s="2198">
        <v>0</v>
      </c>
      <c r="C488" s="3107"/>
      <c r="D488" s="2233">
        <v>0</v>
      </c>
      <c r="E488" s="2199"/>
      <c r="F488" s="2233">
        <v>0</v>
      </c>
      <c r="G488" s="2199"/>
      <c r="H488" s="2233">
        <v>0</v>
      </c>
      <c r="I488" s="2199"/>
      <c r="J488" s="2233">
        <v>0</v>
      </c>
      <c r="K488" s="2234"/>
      <c r="L488" s="2233">
        <v>0</v>
      </c>
      <c r="M488" s="2234"/>
      <c r="N488" s="2233">
        <v>0</v>
      </c>
      <c r="O488" s="2234"/>
      <c r="P488" s="2233">
        <v>0</v>
      </c>
      <c r="Q488" s="2234"/>
      <c r="R488" s="1689">
        <v>0</v>
      </c>
      <c r="S488" s="1599"/>
      <c r="T488" s="3193"/>
      <c r="U488" s="3194"/>
      <c r="V488" s="3195"/>
      <c r="W488" s="3194"/>
      <c r="X488" s="3196"/>
    </row>
    <row r="489" spans="1:24" s="1712" customFormat="1">
      <c r="A489" s="2208" t="s">
        <v>23</v>
      </c>
      <c r="B489" s="123">
        <f>B477+B481+B485</f>
        <v>14799</v>
      </c>
      <c r="C489" s="124"/>
      <c r="D489" s="1869">
        <f>D477+D481+D485</f>
        <v>15057</v>
      </c>
      <c r="E489" s="124"/>
      <c r="F489" s="1869">
        <f>F477+F481+F485</f>
        <v>15945</v>
      </c>
      <c r="G489" s="124"/>
      <c r="H489" s="1869">
        <f>H477+H481+H485</f>
        <v>17240</v>
      </c>
      <c r="I489" s="124"/>
      <c r="J489" s="1869">
        <f>J477+J481+J485</f>
        <v>17203</v>
      </c>
      <c r="K489" s="124"/>
      <c r="L489" s="1869">
        <f>L477+L481+L485</f>
        <v>17095</v>
      </c>
      <c r="M489" s="124"/>
      <c r="N489" s="1869">
        <f>N477+N481+N485</f>
        <v>17095</v>
      </c>
      <c r="O489" s="124"/>
      <c r="P489" s="2300">
        <f>P477+P481+P485</f>
        <v>17095</v>
      </c>
      <c r="Q489" s="124"/>
      <c r="R489" s="122">
        <f>R477+R481+R485</f>
        <v>17095</v>
      </c>
      <c r="S489" s="124"/>
      <c r="T489" s="3197">
        <f t="shared" ref="T489" si="615">(((N489/B489)^(1/6)-1))</f>
        <v>2.4328970585766108E-2</v>
      </c>
      <c r="U489" s="1480"/>
      <c r="V489" s="1479">
        <f t="shared" si="612"/>
        <v>0</v>
      </c>
      <c r="W489" s="1480"/>
      <c r="X489" s="3198">
        <f t="shared" si="613"/>
        <v>0</v>
      </c>
    </row>
    <row r="490" spans="1:24" s="1712" customFormat="1" ht="8.25" customHeight="1" thickBot="1">
      <c r="A490" s="2200"/>
      <c r="B490" s="126"/>
      <c r="C490" s="3068"/>
      <c r="D490" s="2301"/>
      <c r="E490" s="2301"/>
      <c r="F490" s="2301"/>
      <c r="G490" s="2301"/>
      <c r="H490" s="2301"/>
      <c r="I490" s="2301"/>
      <c r="J490" s="2301"/>
      <c r="K490" s="2301"/>
      <c r="L490" s="2301"/>
      <c r="M490" s="2301"/>
      <c r="N490" s="2301"/>
      <c r="O490" s="2301"/>
      <c r="P490" s="2299"/>
      <c r="Q490" s="2301"/>
      <c r="R490" s="127"/>
      <c r="S490" s="1598"/>
      <c r="T490" s="84"/>
      <c r="U490" s="34"/>
      <c r="V490" s="34"/>
      <c r="W490" s="34"/>
      <c r="X490" s="42"/>
    </row>
    <row r="491" spans="1:24" s="1712" customFormat="1">
      <c r="A491" s="2191" t="s">
        <v>24</v>
      </c>
      <c r="B491" s="115"/>
      <c r="C491" s="3073"/>
      <c r="D491" s="116"/>
      <c r="E491" s="1867"/>
      <c r="F491" s="116"/>
      <c r="G491" s="1867"/>
      <c r="H491" s="117"/>
      <c r="I491" s="1867"/>
      <c r="J491" s="117"/>
      <c r="K491" s="1867"/>
      <c r="L491" s="117"/>
      <c r="M491" s="1867"/>
      <c r="N491" s="117"/>
      <c r="O491" s="1867"/>
      <c r="P491" s="118"/>
      <c r="Q491" s="1867"/>
      <c r="R491" s="119"/>
      <c r="S491" s="1600"/>
      <c r="T491" s="86"/>
      <c r="U491" s="45"/>
      <c r="V491" s="47"/>
      <c r="W491" s="45"/>
      <c r="X491" s="85"/>
    </row>
    <row r="492" spans="1:24" s="1712" customFormat="1">
      <c r="A492" s="2297" t="s">
        <v>19</v>
      </c>
      <c r="B492" s="2298">
        <f>SUM(B493:B495)</f>
        <v>8147.4000000000005</v>
      </c>
      <c r="C492" s="3065"/>
      <c r="D492" s="2300">
        <f>SUM(D493:D495)</f>
        <v>8345.7000000000007</v>
      </c>
      <c r="E492" s="2299"/>
      <c r="F492" s="2300">
        <f>SUM(F493:F495)</f>
        <v>8765.1</v>
      </c>
      <c r="G492" s="2299"/>
      <c r="H492" s="2300">
        <f>SUM(H493:H495)</f>
        <v>9566.0999999999985</v>
      </c>
      <c r="I492" s="2299"/>
      <c r="J492" s="2300">
        <f>SUM(J493:J495)</f>
        <v>9879.7999999999993</v>
      </c>
      <c r="K492" s="2299"/>
      <c r="L492" s="2300">
        <f>SUM(L493:L495)</f>
        <v>10266.4</v>
      </c>
      <c r="M492" s="2299"/>
      <c r="N492" s="2300">
        <f>SUM(N493:N495)</f>
        <v>10266.4</v>
      </c>
      <c r="O492" s="2299"/>
      <c r="P492" s="2300">
        <f>SUM(P493:P495)</f>
        <v>10266.4</v>
      </c>
      <c r="Q492" s="2299"/>
      <c r="R492" s="122">
        <f>SUM(R493:R495)</f>
        <v>10266.4</v>
      </c>
      <c r="S492" s="1596"/>
      <c r="T492" s="3188">
        <f>(((N492/B492)^(1/6)-1))</f>
        <v>3.9281485264759608E-2</v>
      </c>
      <c r="U492" s="25"/>
      <c r="V492" s="3189">
        <f>(P492-N492)/N492</f>
        <v>0</v>
      </c>
      <c r="W492" s="25"/>
      <c r="X492" s="3190">
        <f>(R492-P492)/P492</f>
        <v>0</v>
      </c>
    </row>
    <row r="493" spans="1:24" s="1712" customFormat="1">
      <c r="A493" s="2297" t="s">
        <v>20</v>
      </c>
      <c r="B493" s="2203">
        <v>7763.3</v>
      </c>
      <c r="C493" s="3115"/>
      <c r="D493" s="2236">
        <v>7925.1</v>
      </c>
      <c r="E493" s="2204"/>
      <c r="F493" s="2236">
        <v>8329.6</v>
      </c>
      <c r="G493" s="2204"/>
      <c r="H493" s="2236">
        <v>9088.7999999999993</v>
      </c>
      <c r="I493" s="2204"/>
      <c r="J493" s="2236">
        <v>9263.9</v>
      </c>
      <c r="K493" s="2302"/>
      <c r="L493" s="2236">
        <v>9714.5</v>
      </c>
      <c r="M493" s="2302"/>
      <c r="N493" s="2236">
        <v>9714.5</v>
      </c>
      <c r="O493" s="2302"/>
      <c r="P493" s="2236">
        <v>9714.5</v>
      </c>
      <c r="Q493" s="2302"/>
      <c r="R493" s="1654">
        <v>9714.5</v>
      </c>
      <c r="S493" s="1598"/>
      <c r="T493" s="3191">
        <f t="shared" ref="T493:T496" si="616">(((N493/B493)^(1/6)-1))</f>
        <v>3.8075673772824725E-2</v>
      </c>
      <c r="U493" s="77"/>
      <c r="V493" s="78">
        <f t="shared" ref="V493:V498" si="617">(P493-N493)/N493</f>
        <v>0</v>
      </c>
      <c r="W493" s="77"/>
      <c r="X493" s="3192">
        <f t="shared" ref="X493:X498" si="618">(R493-P493)/P493</f>
        <v>0</v>
      </c>
    </row>
    <row r="494" spans="1:24" s="1712" customFormat="1">
      <c r="A494" s="2297" t="s">
        <v>17</v>
      </c>
      <c r="B494" s="2203">
        <v>384.1</v>
      </c>
      <c r="C494" s="3115"/>
      <c r="D494" s="2236">
        <v>420.6</v>
      </c>
      <c r="E494" s="2204"/>
      <c r="F494" s="2236">
        <v>435.5</v>
      </c>
      <c r="G494" s="2204"/>
      <c r="H494" s="2236">
        <v>477.3</v>
      </c>
      <c r="I494" s="2204"/>
      <c r="J494" s="2236">
        <v>615.9</v>
      </c>
      <c r="K494" s="2302"/>
      <c r="L494" s="2236">
        <v>551.9</v>
      </c>
      <c r="M494" s="2302"/>
      <c r="N494" s="2236">
        <v>551.9</v>
      </c>
      <c r="O494" s="2302"/>
      <c r="P494" s="2236">
        <v>551.9</v>
      </c>
      <c r="Q494" s="2302"/>
      <c r="R494" s="1654">
        <v>551.9</v>
      </c>
      <c r="S494" s="1598"/>
      <c r="T494" s="3191">
        <f t="shared" si="616"/>
        <v>6.2272685479181966E-2</v>
      </c>
      <c r="U494" s="77"/>
      <c r="V494" s="78">
        <f t="shared" si="617"/>
        <v>0</v>
      </c>
      <c r="W494" s="77"/>
      <c r="X494" s="3192">
        <f t="shared" si="618"/>
        <v>0</v>
      </c>
    </row>
    <row r="495" spans="1:24" s="1712" customFormat="1">
      <c r="A495" s="2297" t="s">
        <v>154</v>
      </c>
      <c r="B495" s="2203">
        <v>0</v>
      </c>
      <c r="C495" s="3115"/>
      <c r="D495" s="2236">
        <v>0</v>
      </c>
      <c r="E495" s="2204"/>
      <c r="F495" s="2236">
        <v>0</v>
      </c>
      <c r="G495" s="2204"/>
      <c r="H495" s="2236">
        <v>0</v>
      </c>
      <c r="I495" s="2204"/>
      <c r="J495" s="2236">
        <v>0</v>
      </c>
      <c r="K495" s="2302"/>
      <c r="L495" s="2236">
        <v>0</v>
      </c>
      <c r="M495" s="2302"/>
      <c r="N495" s="2236">
        <v>0</v>
      </c>
      <c r="O495" s="2302"/>
      <c r="P495" s="2236">
        <v>0</v>
      </c>
      <c r="Q495" s="2302"/>
      <c r="R495" s="1654">
        <v>0</v>
      </c>
      <c r="S495" s="1598"/>
      <c r="T495" s="3191"/>
      <c r="U495" s="77"/>
      <c r="V495" s="78"/>
      <c r="W495" s="77"/>
      <c r="X495" s="3192"/>
    </row>
    <row r="496" spans="1:24" s="1712" customFormat="1">
      <c r="A496" s="2297" t="s">
        <v>21</v>
      </c>
      <c r="B496" s="2298">
        <f>SUM(B497:B499)</f>
        <v>492.3</v>
      </c>
      <c r="C496" s="3065"/>
      <c r="D496" s="2300">
        <f>SUM(D497:D499)</f>
        <v>529.20000000000005</v>
      </c>
      <c r="E496" s="2299"/>
      <c r="F496" s="2300">
        <f>SUM(F497:F499)</f>
        <v>479.7</v>
      </c>
      <c r="G496" s="2299"/>
      <c r="H496" s="2300">
        <f>SUM(H497:H499)</f>
        <v>547</v>
      </c>
      <c r="I496" s="2299"/>
      <c r="J496" s="2300">
        <f>SUM(J497:J499)</f>
        <v>500</v>
      </c>
      <c r="K496" s="2299"/>
      <c r="L496" s="2300">
        <f>SUM(L497:L499)</f>
        <v>466.5</v>
      </c>
      <c r="M496" s="2299"/>
      <c r="N496" s="2300">
        <f>SUM(N497:N499)</f>
        <v>466.5</v>
      </c>
      <c r="O496" s="2299"/>
      <c r="P496" s="2300">
        <f>SUM(P497:P499)</f>
        <v>466.5</v>
      </c>
      <c r="Q496" s="2299"/>
      <c r="R496" s="122">
        <f>SUM(R497:R499)</f>
        <v>466.5</v>
      </c>
      <c r="S496" s="1598"/>
      <c r="T496" s="3197">
        <f t="shared" si="616"/>
        <v>-8.9315853680385082E-3</v>
      </c>
      <c r="U496" s="1480"/>
      <c r="V496" s="1479">
        <f t="shared" si="617"/>
        <v>0</v>
      </c>
      <c r="W496" s="1480"/>
      <c r="X496" s="3198">
        <f t="shared" si="618"/>
        <v>0</v>
      </c>
    </row>
    <row r="497" spans="1:25" s="1712" customFormat="1">
      <c r="A497" s="2297" t="s">
        <v>20</v>
      </c>
      <c r="B497" s="2242">
        <v>468</v>
      </c>
      <c r="C497" s="1642"/>
      <c r="D497" s="1655">
        <v>505.2</v>
      </c>
      <c r="E497" s="1642"/>
      <c r="F497" s="1655">
        <v>455.7</v>
      </c>
      <c r="G497" s="1642"/>
      <c r="H497" s="1655">
        <v>511.8</v>
      </c>
      <c r="I497" s="1642"/>
      <c r="J497" s="1655">
        <v>453.4</v>
      </c>
      <c r="K497" s="2302"/>
      <c r="L497" s="1655">
        <v>433.8</v>
      </c>
      <c r="M497" s="2302"/>
      <c r="N497" s="1655">
        <v>433.8</v>
      </c>
      <c r="O497" s="2302"/>
      <c r="P497" s="1655">
        <v>433.8</v>
      </c>
      <c r="Q497" s="2302"/>
      <c r="R497" s="1652">
        <v>433.8</v>
      </c>
      <c r="S497" s="1598"/>
      <c r="T497" s="3191">
        <f>(((N497/B497)^(1/6)-1))</f>
        <v>-1.2567806710279683E-2</v>
      </c>
      <c r="U497" s="77"/>
      <c r="V497" s="78">
        <f t="shared" si="617"/>
        <v>0</v>
      </c>
      <c r="W497" s="77"/>
      <c r="X497" s="3192">
        <f t="shared" si="618"/>
        <v>0</v>
      </c>
    </row>
    <row r="498" spans="1:25" s="1712" customFormat="1">
      <c r="A498" s="2297" t="s">
        <v>17</v>
      </c>
      <c r="B498" s="2203">
        <v>24.3</v>
      </c>
      <c r="C498" s="3115"/>
      <c r="D498" s="2236">
        <v>24</v>
      </c>
      <c r="E498" s="2204"/>
      <c r="F498" s="2236">
        <v>24</v>
      </c>
      <c r="G498" s="2204"/>
      <c r="H498" s="2236">
        <v>35.200000000000003</v>
      </c>
      <c r="I498" s="2204"/>
      <c r="J498" s="2236">
        <v>46.6</v>
      </c>
      <c r="K498" s="2302"/>
      <c r="L498" s="2236">
        <v>32.700000000000003</v>
      </c>
      <c r="M498" s="2302"/>
      <c r="N498" s="2236">
        <v>32.700000000000003</v>
      </c>
      <c r="O498" s="2302"/>
      <c r="P498" s="2236">
        <v>32.700000000000003</v>
      </c>
      <c r="Q498" s="2302"/>
      <c r="R498" s="1654">
        <v>32.700000000000003</v>
      </c>
      <c r="S498" s="1598"/>
      <c r="T498" s="3191">
        <f t="shared" ref="T498" si="619">(((N498/B498)^(1/6)-1))</f>
        <v>5.0727857102263796E-2</v>
      </c>
      <c r="U498" s="77"/>
      <c r="V498" s="78">
        <f t="shared" si="617"/>
        <v>0</v>
      </c>
      <c r="W498" s="77"/>
      <c r="X498" s="3192">
        <f t="shared" si="618"/>
        <v>0</v>
      </c>
    </row>
    <row r="499" spans="1:25" s="1712" customFormat="1">
      <c r="A499" s="2297" t="s">
        <v>154</v>
      </c>
      <c r="B499" s="2205">
        <v>0</v>
      </c>
      <c r="C499" s="3115"/>
      <c r="D499" s="2236">
        <v>0</v>
      </c>
      <c r="E499" s="2204"/>
      <c r="F499" s="2236">
        <v>0</v>
      </c>
      <c r="G499" s="2204"/>
      <c r="H499" s="2236">
        <v>0</v>
      </c>
      <c r="I499" s="2204"/>
      <c r="J499" s="2236">
        <v>0</v>
      </c>
      <c r="K499" s="2302"/>
      <c r="L499" s="2236">
        <v>0</v>
      </c>
      <c r="M499" s="2302"/>
      <c r="N499" s="2236">
        <v>0</v>
      </c>
      <c r="O499" s="2302"/>
      <c r="P499" s="2236">
        <v>0</v>
      </c>
      <c r="Q499" s="2302"/>
      <c r="R499" s="1654">
        <v>0</v>
      </c>
      <c r="S499" s="1598"/>
      <c r="T499" s="3191"/>
      <c r="U499" s="77"/>
      <c r="V499" s="78"/>
      <c r="W499" s="77"/>
      <c r="X499" s="3192"/>
    </row>
    <row r="500" spans="1:25" s="1712" customFormat="1">
      <c r="A500" s="2196" t="s">
        <v>22</v>
      </c>
      <c r="B500" s="2298">
        <f>SUM(B501:B503)</f>
        <v>0</v>
      </c>
      <c r="C500" s="3065"/>
      <c r="D500" s="2300">
        <f>SUM(D501:D503)</f>
        <v>0</v>
      </c>
      <c r="E500" s="2299"/>
      <c r="F500" s="2300">
        <f>SUM(F501:F503)</f>
        <v>0</v>
      </c>
      <c r="G500" s="2299"/>
      <c r="H500" s="2300">
        <f>SUM(H501:H503)</f>
        <v>0</v>
      </c>
      <c r="I500" s="2299"/>
      <c r="J500" s="2300">
        <f>SUM(J501:J503)</f>
        <v>0</v>
      </c>
      <c r="K500" s="2299"/>
      <c r="L500" s="2300">
        <f>SUM(L501:L503)</f>
        <v>0</v>
      </c>
      <c r="M500" s="2299"/>
      <c r="N500" s="2300">
        <f>SUM(N501:N503)</f>
        <v>0</v>
      </c>
      <c r="O500" s="2299"/>
      <c r="P500" s="2300">
        <f>SUM(P501:P503)</f>
        <v>0</v>
      </c>
      <c r="Q500" s="2299"/>
      <c r="R500" s="122">
        <f>SUM(R501:R503)</f>
        <v>0</v>
      </c>
      <c r="S500" s="1598"/>
      <c r="T500" s="3197">
        <v>0</v>
      </c>
      <c r="U500" s="1480"/>
      <c r="V500" s="1479">
        <v>0</v>
      </c>
      <c r="W500" s="1480"/>
      <c r="X500" s="3198">
        <v>0</v>
      </c>
    </row>
    <row r="501" spans="1:25" s="1712" customFormat="1">
      <c r="A501" s="2297" t="s">
        <v>20</v>
      </c>
      <c r="B501" s="2205">
        <v>0</v>
      </c>
      <c r="C501" s="3115"/>
      <c r="D501" s="2237">
        <v>0</v>
      </c>
      <c r="E501" s="2204"/>
      <c r="F501" s="2237">
        <v>0</v>
      </c>
      <c r="G501" s="2204"/>
      <c r="H501" s="2237">
        <v>0</v>
      </c>
      <c r="I501" s="2204"/>
      <c r="J501" s="2237">
        <v>0</v>
      </c>
      <c r="K501" s="2302"/>
      <c r="L501" s="2237">
        <v>0</v>
      </c>
      <c r="M501" s="2302"/>
      <c r="N501" s="2237">
        <v>0</v>
      </c>
      <c r="O501" s="2302"/>
      <c r="P501" s="2237">
        <v>0</v>
      </c>
      <c r="Q501" s="2302"/>
      <c r="R501" s="1646">
        <v>0</v>
      </c>
      <c r="S501" s="1598"/>
      <c r="T501" s="3191"/>
      <c r="U501" s="77"/>
      <c r="V501" s="78"/>
      <c r="W501" s="77"/>
      <c r="X501" s="3192"/>
    </row>
    <row r="502" spans="1:25" s="1712" customFormat="1">
      <c r="A502" s="2297" t="s">
        <v>17</v>
      </c>
      <c r="B502" s="2205">
        <v>0</v>
      </c>
      <c r="C502" s="3115"/>
      <c r="D502" s="2237">
        <v>0</v>
      </c>
      <c r="E502" s="2204"/>
      <c r="F502" s="2237">
        <v>0</v>
      </c>
      <c r="G502" s="2204"/>
      <c r="H502" s="2237">
        <v>0</v>
      </c>
      <c r="I502" s="2204"/>
      <c r="J502" s="2237">
        <v>0</v>
      </c>
      <c r="K502" s="2302"/>
      <c r="L502" s="2237">
        <v>0</v>
      </c>
      <c r="M502" s="2302"/>
      <c r="N502" s="2237">
        <v>0</v>
      </c>
      <c r="O502" s="2302"/>
      <c r="P502" s="2237">
        <v>0</v>
      </c>
      <c r="Q502" s="2302"/>
      <c r="R502" s="1646">
        <v>0</v>
      </c>
      <c r="S502" s="1598"/>
      <c r="T502" s="3191"/>
      <c r="U502" s="77"/>
      <c r="V502" s="78"/>
      <c r="W502" s="77"/>
      <c r="X502" s="3192"/>
    </row>
    <row r="503" spans="1:25" s="1712" customFormat="1" ht="13.8" thickBot="1">
      <c r="A503" s="102" t="s">
        <v>154</v>
      </c>
      <c r="B503" s="2206">
        <v>0</v>
      </c>
      <c r="C503" s="2666"/>
      <c r="D503" s="2238">
        <v>0</v>
      </c>
      <c r="E503" s="2207"/>
      <c r="F503" s="2238">
        <v>0</v>
      </c>
      <c r="G503" s="2207"/>
      <c r="H503" s="2238">
        <v>0</v>
      </c>
      <c r="I503" s="2207"/>
      <c r="J503" s="2238">
        <v>0</v>
      </c>
      <c r="K503" s="2234"/>
      <c r="L503" s="2238">
        <v>0</v>
      </c>
      <c r="M503" s="2234"/>
      <c r="N503" s="2238">
        <v>0</v>
      </c>
      <c r="O503" s="2234"/>
      <c r="P503" s="2238">
        <v>0</v>
      </c>
      <c r="Q503" s="2234"/>
      <c r="R503" s="1656">
        <v>0</v>
      </c>
      <c r="S503" s="1599"/>
      <c r="T503" s="3193"/>
      <c r="U503" s="3194"/>
      <c r="V503" s="3195"/>
      <c r="W503" s="3194"/>
      <c r="X503" s="3196"/>
    </row>
    <row r="504" spans="1:25" s="1712" customFormat="1" ht="13.8" thickTop="1">
      <c r="A504" s="2208" t="s">
        <v>25</v>
      </c>
      <c r="B504" s="123">
        <f>B492+B496+B500</f>
        <v>8639.7000000000007</v>
      </c>
      <c r="C504" s="124"/>
      <c r="D504" s="1869">
        <f>D492+D496+D500</f>
        <v>8874.9000000000015</v>
      </c>
      <c r="E504" s="124"/>
      <c r="F504" s="1869">
        <f>F492+F496+F500</f>
        <v>9244.8000000000011</v>
      </c>
      <c r="G504" s="124"/>
      <c r="H504" s="1869">
        <f>H492+H496+H500</f>
        <v>10113.099999999999</v>
      </c>
      <c r="I504" s="124"/>
      <c r="J504" s="1869">
        <f>J492+J496+J500</f>
        <v>10379.799999999999</v>
      </c>
      <c r="K504" s="124"/>
      <c r="L504" s="1869">
        <f>L492+L496+L500</f>
        <v>10732.9</v>
      </c>
      <c r="M504" s="124"/>
      <c r="N504" s="1869">
        <f>N492+N496+N500</f>
        <v>10732.9</v>
      </c>
      <c r="O504" s="124"/>
      <c r="P504" s="2300">
        <f>P492+P496+P500</f>
        <v>10732.9</v>
      </c>
      <c r="Q504" s="124"/>
      <c r="R504" s="122">
        <f>R492+R496+R500</f>
        <v>10732.9</v>
      </c>
      <c r="S504" s="124"/>
      <c r="T504" s="3197">
        <f t="shared" ref="T504" si="620">(((N504/B504)^(1/6)-1))</f>
        <v>3.68192934222491E-2</v>
      </c>
      <c r="U504" s="1480"/>
      <c r="V504" s="1479">
        <f t="shared" ref="V504" si="621">(P504-N504)/N504</f>
        <v>0</v>
      </c>
      <c r="W504" s="1480"/>
      <c r="X504" s="3198">
        <f t="shared" ref="X504" si="622">(R504-P504)/P504</f>
        <v>0</v>
      </c>
    </row>
    <row r="505" spans="1:25" s="1712" customFormat="1" ht="8.25" customHeight="1" thickBot="1">
      <c r="A505" s="2200"/>
      <c r="B505" s="126"/>
      <c r="C505" s="3068"/>
      <c r="D505" s="2301"/>
      <c r="E505" s="2301"/>
      <c r="F505" s="2301"/>
      <c r="G505" s="2301"/>
      <c r="H505" s="2301"/>
      <c r="I505" s="2301"/>
      <c r="J505" s="2301"/>
      <c r="K505" s="2301"/>
      <c r="L505" s="2301"/>
      <c r="M505" s="2301"/>
      <c r="N505" s="2301"/>
      <c r="O505" s="2301"/>
      <c r="P505" s="2299"/>
      <c r="Q505" s="2301"/>
      <c r="R505" s="127"/>
      <c r="S505" s="1598"/>
      <c r="T505" s="84"/>
      <c r="U505" s="34"/>
      <c r="V505" s="34"/>
      <c r="W505" s="34"/>
      <c r="X505" s="42"/>
    </row>
    <row r="506" spans="1:25" s="1712" customFormat="1">
      <c r="A506" s="2191" t="s">
        <v>78</v>
      </c>
      <c r="B506" s="2201"/>
      <c r="C506" s="3097"/>
      <c r="D506" s="2202"/>
      <c r="E506" s="2296"/>
      <c r="F506" s="2202"/>
      <c r="G506" s="2296"/>
      <c r="H506" s="2235"/>
      <c r="I506" s="2296"/>
      <c r="J506" s="2235"/>
      <c r="K506" s="2296"/>
      <c r="L506" s="2235"/>
      <c r="M506" s="2296"/>
      <c r="N506" s="2235"/>
      <c r="O506" s="2296"/>
      <c r="P506" s="2192"/>
      <c r="Q506" s="2296"/>
      <c r="R506" s="1899"/>
      <c r="S506" s="1600"/>
      <c r="T506" s="86"/>
      <c r="U506" s="45"/>
      <c r="V506" s="47"/>
      <c r="W506" s="45"/>
      <c r="X506" s="85"/>
    </row>
    <row r="507" spans="1:25" s="1712" customFormat="1">
      <c r="A507" s="2196" t="s">
        <v>79</v>
      </c>
      <c r="B507" s="2209">
        <v>88</v>
      </c>
      <c r="C507" s="3119"/>
      <c r="D507" s="2211">
        <v>352</v>
      </c>
      <c r="E507" s="2210"/>
      <c r="F507" s="2211">
        <v>1022</v>
      </c>
      <c r="G507" s="2210"/>
      <c r="H507" s="2239">
        <v>1733</v>
      </c>
      <c r="I507" s="2210"/>
      <c r="J507" s="2239">
        <v>1834</v>
      </c>
      <c r="K507" s="2229"/>
      <c r="L507" s="2305">
        <v>2429</v>
      </c>
      <c r="M507" s="2229"/>
      <c r="N507" s="2305">
        <v>2429</v>
      </c>
      <c r="O507" s="2229"/>
      <c r="P507" s="2305">
        <v>2429</v>
      </c>
      <c r="Q507" s="2229"/>
      <c r="R507" s="2306">
        <v>2429</v>
      </c>
      <c r="S507" s="1596"/>
      <c r="T507" s="3191">
        <f t="shared" ref="T507:T508" si="623">(((N507/B507)^(1/6)-1))</f>
        <v>0.73843106396834446</v>
      </c>
      <c r="U507" s="77"/>
      <c r="V507" s="78">
        <f t="shared" ref="V507:V508" si="624">(P507-N507)/N507</f>
        <v>0</v>
      </c>
      <c r="W507" s="77"/>
      <c r="X507" s="3192">
        <f t="shared" ref="X507:X508" si="625">(R507-P507)/P507</f>
        <v>0</v>
      </c>
    </row>
    <row r="508" spans="1:25" s="1712" customFormat="1" ht="13.8" thickBot="1">
      <c r="A508" s="2212" t="s">
        <v>80</v>
      </c>
      <c r="B508" s="2213">
        <v>16.100000000000001</v>
      </c>
      <c r="C508" s="3125"/>
      <c r="D508" s="2215">
        <v>54.8</v>
      </c>
      <c r="E508" s="2214"/>
      <c r="F508" s="2215">
        <v>172.7</v>
      </c>
      <c r="G508" s="2214"/>
      <c r="H508" s="2240">
        <v>278.39999999999998</v>
      </c>
      <c r="I508" s="2214"/>
      <c r="J508" s="2240">
        <v>320</v>
      </c>
      <c r="K508" s="2241"/>
      <c r="L508" s="2227">
        <v>446.9</v>
      </c>
      <c r="M508" s="2241"/>
      <c r="N508" s="2227">
        <v>446.9</v>
      </c>
      <c r="O508" s="2241"/>
      <c r="P508" s="2227">
        <v>446.9</v>
      </c>
      <c r="Q508" s="2241"/>
      <c r="R508" s="2307">
        <v>446.9</v>
      </c>
      <c r="S508" s="97"/>
      <c r="T508" s="3191">
        <f t="shared" si="623"/>
        <v>0.74005942334587571</v>
      </c>
      <c r="U508" s="77"/>
      <c r="V508" s="78">
        <f t="shared" si="624"/>
        <v>0</v>
      </c>
      <c r="W508" s="77"/>
      <c r="X508" s="3192">
        <f t="shared" si="625"/>
        <v>0</v>
      </c>
      <c r="Y508" s="3259"/>
    </row>
    <row r="509" spans="1:25" s="1775" customFormat="1" ht="13.8" thickBot="1">
      <c r="A509" s="111"/>
      <c r="B509" s="112"/>
      <c r="C509" s="112"/>
      <c r="D509" s="112"/>
      <c r="E509" s="112"/>
      <c r="F509" s="113"/>
      <c r="G509" s="112"/>
      <c r="H509" s="112"/>
      <c r="I509" s="112"/>
      <c r="J509" s="112"/>
      <c r="K509" s="112"/>
      <c r="L509" s="112"/>
      <c r="M509" s="112"/>
      <c r="N509" s="112"/>
      <c r="O509" s="112"/>
      <c r="P509" s="112"/>
      <c r="Q509" s="112"/>
      <c r="R509" s="112"/>
      <c r="S509" s="112"/>
      <c r="T509" s="112"/>
      <c r="U509" s="112"/>
      <c r="V509" s="112"/>
      <c r="W509" s="112"/>
      <c r="X509" s="112"/>
    </row>
    <row r="510" spans="1:25" s="1785" customFormat="1">
      <c r="A510" s="114" t="s">
        <v>206</v>
      </c>
      <c r="B510" s="1776" t="s">
        <v>13</v>
      </c>
      <c r="C510" s="3051"/>
      <c r="D510" s="1778" t="s">
        <v>13</v>
      </c>
      <c r="E510" s="1777"/>
      <c r="F510" s="1779" t="s">
        <v>13</v>
      </c>
      <c r="G510" s="1777"/>
      <c r="H510" s="1779" t="s">
        <v>13</v>
      </c>
      <c r="I510" s="1777"/>
      <c r="J510" s="1779" t="s">
        <v>13</v>
      </c>
      <c r="K510" s="1777"/>
      <c r="L510" s="1780" t="s">
        <v>14</v>
      </c>
      <c r="M510" s="1777"/>
      <c r="N510" s="1780" t="s">
        <v>15</v>
      </c>
      <c r="O510" s="1777"/>
      <c r="P510" s="1781" t="s">
        <v>16</v>
      </c>
      <c r="Q510" s="1777"/>
      <c r="R510" s="1611" t="s">
        <v>16</v>
      </c>
      <c r="S510" s="1777"/>
      <c r="T510" s="1612" t="s">
        <v>62</v>
      </c>
      <c r="U510" s="1783"/>
      <c r="V510" s="1782" t="s">
        <v>75</v>
      </c>
      <c r="W510" s="1783"/>
      <c r="X510" s="1784" t="s">
        <v>75</v>
      </c>
    </row>
    <row r="511" spans="1:25" s="1785" customFormat="1" ht="13.8" thickBot="1">
      <c r="A511" s="1786"/>
      <c r="B511" s="1787" t="s">
        <v>3</v>
      </c>
      <c r="C511" s="3053"/>
      <c r="D511" s="1789" t="s">
        <v>4</v>
      </c>
      <c r="E511" s="1788"/>
      <c r="F511" s="1790" t="s">
        <v>5</v>
      </c>
      <c r="G511" s="1788"/>
      <c r="H511" s="1791" t="s">
        <v>6</v>
      </c>
      <c r="I511" s="1788"/>
      <c r="J511" s="1791" t="s">
        <v>7</v>
      </c>
      <c r="K511" s="1788"/>
      <c r="L511" s="1791" t="s">
        <v>8</v>
      </c>
      <c r="M511" s="1788"/>
      <c r="N511" s="1791" t="s">
        <v>9</v>
      </c>
      <c r="O511" s="1788"/>
      <c r="P511" s="1792" t="s">
        <v>10</v>
      </c>
      <c r="Q511" s="1788"/>
      <c r="R511" s="1623" t="s">
        <v>11</v>
      </c>
      <c r="S511" s="1788"/>
      <c r="T511" s="1624" t="s">
        <v>63</v>
      </c>
      <c r="U511" s="1794"/>
      <c r="V511" s="1793" t="s">
        <v>76</v>
      </c>
      <c r="W511" s="1794"/>
      <c r="X511" s="1795" t="s">
        <v>77</v>
      </c>
    </row>
    <row r="512" spans="1:25" s="1775" customFormat="1">
      <c r="A512" s="1797" t="s">
        <v>81</v>
      </c>
      <c r="B512" s="115"/>
      <c r="C512" s="3073"/>
      <c r="D512" s="116"/>
      <c r="E512" s="1600"/>
      <c r="F512" s="116"/>
      <c r="G512" s="1600"/>
      <c r="H512" s="117"/>
      <c r="I512" s="1600"/>
      <c r="J512" s="117"/>
      <c r="K512" s="1600"/>
      <c r="L512" s="117"/>
      <c r="M512" s="1600"/>
      <c r="N512" s="117"/>
      <c r="O512" s="1600"/>
      <c r="P512" s="118"/>
      <c r="Q512" s="1600"/>
      <c r="R512" s="119"/>
      <c r="S512" s="1600"/>
      <c r="T512" s="120"/>
      <c r="U512" s="1600"/>
      <c r="V512" s="117"/>
      <c r="W512" s="1600"/>
      <c r="X512" s="121"/>
    </row>
    <row r="513" spans="1:24" s="1775" customFormat="1">
      <c r="A513" s="1799" t="s">
        <v>19</v>
      </c>
      <c r="B513" s="1595">
        <f>SUM(B514:B516)</f>
        <v>4552</v>
      </c>
      <c r="C513" s="3065"/>
      <c r="D513" s="1597">
        <f>SUM(D514:D516)</f>
        <v>4672</v>
      </c>
      <c r="E513" s="1596"/>
      <c r="F513" s="1597">
        <f>SUM(F514:F516)</f>
        <v>4997</v>
      </c>
      <c r="G513" s="1596"/>
      <c r="H513" s="1597">
        <f>SUM(H514:H516)</f>
        <v>5594</v>
      </c>
      <c r="I513" s="1596"/>
      <c r="J513" s="1597">
        <f>SUM(J514:J516)</f>
        <v>5900</v>
      </c>
      <c r="K513" s="1596"/>
      <c r="L513" s="1597">
        <f>SUM(L514:L516)</f>
        <v>6937</v>
      </c>
      <c r="M513" s="1596"/>
      <c r="N513" s="1597">
        <f>SUM(N514:N516)</f>
        <v>6937</v>
      </c>
      <c r="O513" s="1596"/>
      <c r="P513" s="1597">
        <f>SUM(P514:P516)</f>
        <v>6937</v>
      </c>
      <c r="Q513" s="1596"/>
      <c r="R513" s="122">
        <f>SUM(R514:R516)</f>
        <v>6937</v>
      </c>
      <c r="S513" s="1596"/>
      <c r="T513" s="3188">
        <f>(((N513/B513)^(1/6)-1))</f>
        <v>7.2741067291236083E-2</v>
      </c>
      <c r="U513" s="25"/>
      <c r="V513" s="3189">
        <f>(P513-N513)/N513</f>
        <v>0</v>
      </c>
      <c r="W513" s="25"/>
      <c r="X513" s="3190">
        <f>(R513-P513)/P513</f>
        <v>0</v>
      </c>
    </row>
    <row r="514" spans="1:24" s="1775" customFormat="1">
      <c r="A514" s="1799" t="s">
        <v>20</v>
      </c>
      <c r="B514" s="1800">
        <v>4488</v>
      </c>
      <c r="C514" s="3101"/>
      <c r="D514" s="1829">
        <v>4606</v>
      </c>
      <c r="E514" s="1801"/>
      <c r="F514" s="1829">
        <v>4901</v>
      </c>
      <c r="G514" s="1801"/>
      <c r="H514" s="1829">
        <v>5493</v>
      </c>
      <c r="I514" s="1801"/>
      <c r="J514" s="1829">
        <v>5795</v>
      </c>
      <c r="K514" s="1830"/>
      <c r="L514" s="1822">
        <v>6819</v>
      </c>
      <c r="M514" s="1830"/>
      <c r="N514" s="1822">
        <v>6819</v>
      </c>
      <c r="O514" s="1830"/>
      <c r="P514" s="1822">
        <v>6819</v>
      </c>
      <c r="Q514" s="1830"/>
      <c r="R514" s="1711">
        <v>6819</v>
      </c>
      <c r="S514" s="1598"/>
      <c r="T514" s="3191">
        <f t="shared" ref="T514:T517" si="626">(((N514/B514)^(1/6)-1))</f>
        <v>7.2205359378346268E-2</v>
      </c>
      <c r="U514" s="77"/>
      <c r="V514" s="78">
        <f t="shared" ref="V514:V525" si="627">(P514-N514)/N514</f>
        <v>0</v>
      </c>
      <c r="W514" s="77"/>
      <c r="X514" s="3192">
        <f t="shared" ref="X514:X525" si="628">(R514-P514)/P514</f>
        <v>0</v>
      </c>
    </row>
    <row r="515" spans="1:24" s="1775" customFormat="1">
      <c r="A515" s="1799" t="s">
        <v>17</v>
      </c>
      <c r="B515" s="1800">
        <v>64</v>
      </c>
      <c r="C515" s="3101"/>
      <c r="D515" s="1829">
        <v>66</v>
      </c>
      <c r="E515" s="1801"/>
      <c r="F515" s="1829">
        <v>96</v>
      </c>
      <c r="G515" s="1801"/>
      <c r="H515" s="1829">
        <v>63</v>
      </c>
      <c r="I515" s="1801"/>
      <c r="J515" s="1829">
        <v>105</v>
      </c>
      <c r="K515" s="1830"/>
      <c r="L515" s="1822">
        <v>118</v>
      </c>
      <c r="M515" s="1830"/>
      <c r="N515" s="1822">
        <v>118</v>
      </c>
      <c r="O515" s="1830"/>
      <c r="P515" s="1822">
        <v>118</v>
      </c>
      <c r="Q515" s="1830"/>
      <c r="R515" s="1711">
        <v>118</v>
      </c>
      <c r="S515" s="1598"/>
      <c r="T515" s="3191">
        <f t="shared" si="626"/>
        <v>0.10734684398385497</v>
      </c>
      <c r="U515" s="77"/>
      <c r="V515" s="78">
        <f t="shared" si="627"/>
        <v>0</v>
      </c>
      <c r="W515" s="77"/>
      <c r="X515" s="3192">
        <f t="shared" si="628"/>
        <v>0</v>
      </c>
    </row>
    <row r="516" spans="1:24" s="1775" customFormat="1">
      <c r="A516" s="1799" t="s">
        <v>154</v>
      </c>
      <c r="B516" s="1800">
        <v>0</v>
      </c>
      <c r="C516" s="3101"/>
      <c r="D516" s="1829">
        <v>0</v>
      </c>
      <c r="E516" s="1801"/>
      <c r="F516" s="1829">
        <v>0</v>
      </c>
      <c r="G516" s="1801"/>
      <c r="H516" s="1829">
        <v>38</v>
      </c>
      <c r="I516" s="1801"/>
      <c r="J516" s="1829">
        <v>0</v>
      </c>
      <c r="K516" s="1830"/>
      <c r="L516" s="1822">
        <v>0</v>
      </c>
      <c r="M516" s="1830"/>
      <c r="N516" s="1822">
        <v>0</v>
      </c>
      <c r="O516" s="1830"/>
      <c r="P516" s="1822">
        <v>0</v>
      </c>
      <c r="Q516" s="1830"/>
      <c r="R516" s="1711">
        <v>0</v>
      </c>
      <c r="S516" s="1598"/>
      <c r="T516" s="3191"/>
      <c r="U516" s="77"/>
      <c r="V516" s="78"/>
      <c r="W516" s="77"/>
      <c r="X516" s="3192"/>
    </row>
    <row r="517" spans="1:24" s="1775" customFormat="1">
      <c r="A517" s="1799" t="s">
        <v>21</v>
      </c>
      <c r="B517" s="1595">
        <f>SUM(B518:B520)</f>
        <v>110</v>
      </c>
      <c r="C517" s="3065"/>
      <c r="D517" s="1597">
        <f>SUM(D518:D520)</f>
        <v>125</v>
      </c>
      <c r="E517" s="1596"/>
      <c r="F517" s="1597">
        <f>SUM(F518:F520)</f>
        <v>120</v>
      </c>
      <c r="G517" s="1596"/>
      <c r="H517" s="1597">
        <f>SUM(H518:H520)</f>
        <v>118</v>
      </c>
      <c r="I517" s="1596"/>
      <c r="J517" s="1597">
        <f>SUM(J518:J520)</f>
        <v>112</v>
      </c>
      <c r="K517" s="1596"/>
      <c r="L517" s="1597">
        <f>SUM(L518:L520)</f>
        <v>104</v>
      </c>
      <c r="M517" s="1596"/>
      <c r="N517" s="1597">
        <f>SUM(N518:N520)</f>
        <v>104</v>
      </c>
      <c r="O517" s="1596"/>
      <c r="P517" s="1597">
        <f>SUM(P518:P520)</f>
        <v>104</v>
      </c>
      <c r="Q517" s="1596"/>
      <c r="R517" s="122">
        <f>SUM(R518:R520)</f>
        <v>104</v>
      </c>
      <c r="S517" s="1598"/>
      <c r="T517" s="3197">
        <f t="shared" si="626"/>
        <v>-9.3046854438285642E-3</v>
      </c>
      <c r="U517" s="1480"/>
      <c r="V517" s="1479">
        <f t="shared" si="627"/>
        <v>0</v>
      </c>
      <c r="W517" s="1480"/>
      <c r="X517" s="3198">
        <f t="shared" si="628"/>
        <v>0</v>
      </c>
    </row>
    <row r="518" spans="1:24" s="1775" customFormat="1">
      <c r="A518" s="1799" t="s">
        <v>20</v>
      </c>
      <c r="B518" s="1800">
        <v>106</v>
      </c>
      <c r="C518" s="3101"/>
      <c r="D518" s="1829">
        <v>121</v>
      </c>
      <c r="E518" s="1801"/>
      <c r="F518" s="1829">
        <v>117</v>
      </c>
      <c r="G518" s="1801"/>
      <c r="H518" s="1829">
        <v>114</v>
      </c>
      <c r="I518" s="1801"/>
      <c r="J518" s="1829">
        <v>104</v>
      </c>
      <c r="K518" s="1830"/>
      <c r="L518" s="1822">
        <v>99</v>
      </c>
      <c r="M518" s="1830"/>
      <c r="N518" s="1822">
        <v>99</v>
      </c>
      <c r="O518" s="1830"/>
      <c r="P518" s="1822">
        <v>99</v>
      </c>
      <c r="Q518" s="1830"/>
      <c r="R518" s="1711">
        <v>99</v>
      </c>
      <c r="S518" s="1598"/>
      <c r="T518" s="3191">
        <f>(((N518/B518)^(1/6)-1))</f>
        <v>-1.132195936039937E-2</v>
      </c>
      <c r="U518" s="77"/>
      <c r="V518" s="78">
        <f t="shared" si="627"/>
        <v>0</v>
      </c>
      <c r="W518" s="77"/>
      <c r="X518" s="3192">
        <f t="shared" si="628"/>
        <v>0</v>
      </c>
    </row>
    <row r="519" spans="1:24" s="1775" customFormat="1">
      <c r="A519" s="1799" t="s">
        <v>17</v>
      </c>
      <c r="B519" s="1800">
        <v>4</v>
      </c>
      <c r="C519" s="3101"/>
      <c r="D519" s="1829">
        <v>4</v>
      </c>
      <c r="E519" s="1801"/>
      <c r="F519" s="1829">
        <v>3</v>
      </c>
      <c r="G519" s="1801"/>
      <c r="H519" s="1829">
        <v>4</v>
      </c>
      <c r="I519" s="1801"/>
      <c r="J519" s="1829">
        <v>8</v>
      </c>
      <c r="K519" s="1830"/>
      <c r="L519" s="1822">
        <v>5</v>
      </c>
      <c r="M519" s="1830"/>
      <c r="N519" s="1822">
        <v>5</v>
      </c>
      <c r="O519" s="1830"/>
      <c r="P519" s="1822">
        <v>5</v>
      </c>
      <c r="Q519" s="1830"/>
      <c r="R519" s="1711">
        <v>5</v>
      </c>
      <c r="S519" s="1598"/>
      <c r="T519" s="3191">
        <f t="shared" ref="T519" si="629">(((N519/B519)^(1/6)-1))</f>
        <v>3.7890815556213431E-2</v>
      </c>
      <c r="U519" s="77"/>
      <c r="V519" s="78">
        <f t="shared" si="627"/>
        <v>0</v>
      </c>
      <c r="W519" s="77"/>
      <c r="X519" s="3192">
        <f t="shared" si="628"/>
        <v>0</v>
      </c>
    </row>
    <row r="520" spans="1:24" s="1775" customFormat="1">
      <c r="A520" s="1799" t="s">
        <v>154</v>
      </c>
      <c r="B520" s="1800">
        <v>0</v>
      </c>
      <c r="C520" s="3101"/>
      <c r="D520" s="1829">
        <v>0</v>
      </c>
      <c r="E520" s="1801"/>
      <c r="F520" s="1829">
        <v>0</v>
      </c>
      <c r="G520" s="1801"/>
      <c r="H520" s="1829">
        <v>0</v>
      </c>
      <c r="I520" s="1801"/>
      <c r="J520" s="1829">
        <v>0</v>
      </c>
      <c r="K520" s="1830"/>
      <c r="L520" s="1822">
        <v>0</v>
      </c>
      <c r="M520" s="1830"/>
      <c r="N520" s="1822">
        <v>0</v>
      </c>
      <c r="O520" s="1830"/>
      <c r="P520" s="1822">
        <v>0</v>
      </c>
      <c r="Q520" s="1830"/>
      <c r="R520" s="1711">
        <v>0</v>
      </c>
      <c r="S520" s="1598"/>
      <c r="T520" s="3191"/>
      <c r="U520" s="77"/>
      <c r="V520" s="78"/>
      <c r="W520" s="77"/>
      <c r="X520" s="3192"/>
    </row>
    <row r="521" spans="1:24" s="1775" customFormat="1">
      <c r="A521" s="1802" t="s">
        <v>22</v>
      </c>
      <c r="B521" s="1595">
        <f>SUM(B522:B524)</f>
        <v>0</v>
      </c>
      <c r="C521" s="3065"/>
      <c r="D521" s="1597">
        <f>SUM(D522:D524)</f>
        <v>0</v>
      </c>
      <c r="E521" s="1596"/>
      <c r="F521" s="1597">
        <f>SUM(F522:F524)</f>
        <v>0</v>
      </c>
      <c r="G521" s="1596"/>
      <c r="H521" s="1597">
        <f>SUM(H522:H524)</f>
        <v>0</v>
      </c>
      <c r="I521" s="1596"/>
      <c r="J521" s="1597">
        <f>SUM(J522:J524)</f>
        <v>0</v>
      </c>
      <c r="K521" s="1596"/>
      <c r="L521" s="1597">
        <f>SUM(L522:L524)</f>
        <v>0</v>
      </c>
      <c r="M521" s="1596"/>
      <c r="N521" s="1597">
        <f>SUM(N522:N524)</f>
        <v>0</v>
      </c>
      <c r="O521" s="1596"/>
      <c r="P521" s="1597">
        <f>SUM(P522:P524)</f>
        <v>0</v>
      </c>
      <c r="Q521" s="1596"/>
      <c r="R521" s="122">
        <f>SUM(R522:R524)</f>
        <v>0</v>
      </c>
      <c r="S521" s="1598"/>
      <c r="T521" s="3197">
        <v>0</v>
      </c>
      <c r="U521" s="1480"/>
      <c r="V521" s="1479">
        <v>0</v>
      </c>
      <c r="W521" s="1480"/>
      <c r="X521" s="3198">
        <v>0</v>
      </c>
    </row>
    <row r="522" spans="1:24" s="1775" customFormat="1">
      <c r="A522" s="1799" t="s">
        <v>20</v>
      </c>
      <c r="B522" s="1803">
        <v>0</v>
      </c>
      <c r="C522" s="3101"/>
      <c r="D522" s="1832">
        <v>0</v>
      </c>
      <c r="E522" s="1801"/>
      <c r="F522" s="1832">
        <v>0</v>
      </c>
      <c r="G522" s="1801"/>
      <c r="H522" s="1832">
        <v>0</v>
      </c>
      <c r="I522" s="1801"/>
      <c r="J522" s="1832">
        <v>0</v>
      </c>
      <c r="K522" s="1830"/>
      <c r="L522" s="1832">
        <v>0</v>
      </c>
      <c r="M522" s="1830"/>
      <c r="N522" s="1831">
        <v>0</v>
      </c>
      <c r="O522" s="1830"/>
      <c r="P522" s="1831">
        <v>0</v>
      </c>
      <c r="Q522" s="1830"/>
      <c r="R522" s="1640">
        <v>0</v>
      </c>
      <c r="S522" s="1598"/>
      <c r="T522" s="3191"/>
      <c r="U522" s="77"/>
      <c r="V522" s="78"/>
      <c r="W522" s="77"/>
      <c r="X522" s="3192"/>
    </row>
    <row r="523" spans="1:24" s="1775" customFormat="1">
      <c r="A523" s="1799" t="s">
        <v>17</v>
      </c>
      <c r="B523" s="1803">
        <v>0</v>
      </c>
      <c r="C523" s="3101"/>
      <c r="D523" s="1832">
        <v>0</v>
      </c>
      <c r="E523" s="1801"/>
      <c r="F523" s="1832">
        <v>0</v>
      </c>
      <c r="G523" s="1801"/>
      <c r="H523" s="1832">
        <v>0</v>
      </c>
      <c r="I523" s="1801"/>
      <c r="J523" s="1832">
        <v>0</v>
      </c>
      <c r="K523" s="1830"/>
      <c r="L523" s="1832">
        <v>0</v>
      </c>
      <c r="M523" s="1830"/>
      <c r="N523" s="1831">
        <v>0</v>
      </c>
      <c r="O523" s="1830"/>
      <c r="P523" s="1831">
        <v>0</v>
      </c>
      <c r="Q523" s="1830"/>
      <c r="R523" s="1640">
        <v>0</v>
      </c>
      <c r="S523" s="1598"/>
      <c r="T523" s="3191"/>
      <c r="U523" s="77"/>
      <c r="V523" s="78"/>
      <c r="W523" s="77"/>
      <c r="X523" s="3192"/>
    </row>
    <row r="524" spans="1:24" s="1775" customFormat="1" ht="13.8" thickBot="1">
      <c r="A524" s="1641" t="s">
        <v>154</v>
      </c>
      <c r="B524" s="1804">
        <v>0</v>
      </c>
      <c r="C524" s="3107"/>
      <c r="D524" s="1833">
        <v>0</v>
      </c>
      <c r="E524" s="1805"/>
      <c r="F524" s="1833">
        <v>0</v>
      </c>
      <c r="G524" s="1805"/>
      <c r="H524" s="1833">
        <v>0</v>
      </c>
      <c r="I524" s="1805"/>
      <c r="J524" s="1833">
        <v>0</v>
      </c>
      <c r="K524" s="1834"/>
      <c r="L524" s="1833">
        <v>0</v>
      </c>
      <c r="M524" s="1834"/>
      <c r="N524" s="1833">
        <v>0</v>
      </c>
      <c r="O524" s="1834"/>
      <c r="P524" s="1833">
        <v>0</v>
      </c>
      <c r="Q524" s="1834"/>
      <c r="R524" s="1689">
        <v>0</v>
      </c>
      <c r="S524" s="1599"/>
      <c r="T524" s="3193"/>
      <c r="U524" s="3194"/>
      <c r="V524" s="3195"/>
      <c r="W524" s="3194"/>
      <c r="X524" s="3196"/>
    </row>
    <row r="525" spans="1:24" s="1775" customFormat="1">
      <c r="A525" s="1814" t="s">
        <v>23</v>
      </c>
      <c r="B525" s="123">
        <f>B513+B517+B521</f>
        <v>4662</v>
      </c>
      <c r="C525" s="124"/>
      <c r="D525" s="1601">
        <f>D513+D517+D521</f>
        <v>4797</v>
      </c>
      <c r="E525" s="124"/>
      <c r="F525" s="1601">
        <f>F513+F517+F521</f>
        <v>5117</v>
      </c>
      <c r="G525" s="124"/>
      <c r="H525" s="1601">
        <f>H513+H517+H521</f>
        <v>5712</v>
      </c>
      <c r="I525" s="124"/>
      <c r="J525" s="1601">
        <f>J513+J517+J521</f>
        <v>6012</v>
      </c>
      <c r="K525" s="124"/>
      <c r="L525" s="1601">
        <f>L513+L517+L521</f>
        <v>7041</v>
      </c>
      <c r="M525" s="124"/>
      <c r="N525" s="1601">
        <f>N513+N517+N521</f>
        <v>7041</v>
      </c>
      <c r="O525" s="124"/>
      <c r="P525" s="1597">
        <f>P513+P517+P521</f>
        <v>7041</v>
      </c>
      <c r="Q525" s="124"/>
      <c r="R525" s="122">
        <f>R513+R517+R521</f>
        <v>7041</v>
      </c>
      <c r="S525" s="124"/>
      <c r="T525" s="3197">
        <f t="shared" ref="T525" si="630">(((N525/B525)^(1/6)-1))</f>
        <v>7.1133689872530548E-2</v>
      </c>
      <c r="U525" s="1480"/>
      <c r="V525" s="1479">
        <f t="shared" si="627"/>
        <v>0</v>
      </c>
      <c r="W525" s="1480"/>
      <c r="X525" s="3198">
        <f t="shared" si="628"/>
        <v>0</v>
      </c>
    </row>
    <row r="526" spans="1:24" s="1775" customFormat="1" ht="8.25" customHeight="1" thickBot="1">
      <c r="A526" s="1806"/>
      <c r="B526" s="126"/>
      <c r="C526" s="3068"/>
      <c r="D526" s="1598"/>
      <c r="E526" s="1598"/>
      <c r="F526" s="1598"/>
      <c r="G526" s="1598"/>
      <c r="H526" s="1598"/>
      <c r="I526" s="1598"/>
      <c r="J526" s="1598"/>
      <c r="K526" s="1598"/>
      <c r="L526" s="1598"/>
      <c r="M526" s="1598"/>
      <c r="N526" s="1598"/>
      <c r="O526" s="1598"/>
      <c r="P526" s="1596"/>
      <c r="Q526" s="1598"/>
      <c r="R526" s="127"/>
      <c r="S526" s="1598"/>
      <c r="T526" s="84"/>
      <c r="U526" s="34"/>
      <c r="V526" s="34"/>
      <c r="W526" s="34"/>
      <c r="X526" s="42"/>
    </row>
    <row r="527" spans="1:24" s="1775" customFormat="1">
      <c r="A527" s="1797" t="s">
        <v>24</v>
      </c>
      <c r="B527" s="115"/>
      <c r="C527" s="3073"/>
      <c r="D527" s="116"/>
      <c r="E527" s="1600"/>
      <c r="F527" s="116"/>
      <c r="G527" s="1600"/>
      <c r="H527" s="117"/>
      <c r="I527" s="1600"/>
      <c r="J527" s="117"/>
      <c r="K527" s="1600"/>
      <c r="L527" s="117"/>
      <c r="M527" s="1600"/>
      <c r="N527" s="117"/>
      <c r="O527" s="1600"/>
      <c r="P527" s="118"/>
      <c r="Q527" s="1600"/>
      <c r="R527" s="119"/>
      <c r="S527" s="1600"/>
      <c r="T527" s="86"/>
      <c r="U527" s="45"/>
      <c r="V527" s="47"/>
      <c r="W527" s="45"/>
      <c r="X527" s="85"/>
    </row>
    <row r="528" spans="1:24" s="1775" customFormat="1">
      <c r="A528" s="1799" t="s">
        <v>19</v>
      </c>
      <c r="B528" s="1595">
        <f>SUM(B529:B531)</f>
        <v>2639.3999999999996</v>
      </c>
      <c r="C528" s="3065"/>
      <c r="D528" s="1597">
        <f>SUM(D529:D531)</f>
        <v>2741.2999999999997</v>
      </c>
      <c r="E528" s="1596"/>
      <c r="F528" s="1597">
        <f>SUM(F529:F531)</f>
        <v>2926.3</v>
      </c>
      <c r="G528" s="1596"/>
      <c r="H528" s="1597">
        <f>SUM(H529:H531)</f>
        <v>3226.4</v>
      </c>
      <c r="I528" s="1596"/>
      <c r="J528" s="1597">
        <f>SUM(J529:J531)</f>
        <v>3435.1</v>
      </c>
      <c r="K528" s="1596"/>
      <c r="L528" s="1597">
        <f>SUM(L529:L531)</f>
        <v>3484.96</v>
      </c>
      <c r="M528" s="1596"/>
      <c r="N528" s="1597">
        <f>SUM(N529:N531)</f>
        <v>3484.96</v>
      </c>
      <c r="O528" s="1596"/>
      <c r="P528" s="1597">
        <f>SUM(P529:P531)</f>
        <v>3484.96</v>
      </c>
      <c r="Q528" s="1596"/>
      <c r="R528" s="122">
        <f>SUM(R529:R531)</f>
        <v>3484.96</v>
      </c>
      <c r="S528" s="1596"/>
      <c r="T528" s="3188">
        <f>(((N528/B528)^(1/6)-1))</f>
        <v>4.7406900748624192E-2</v>
      </c>
      <c r="U528" s="25"/>
      <c r="V528" s="3189">
        <f>(P528-N528)/N528</f>
        <v>0</v>
      </c>
      <c r="W528" s="25"/>
      <c r="X528" s="3190">
        <f>(R528-P528)/P528</f>
        <v>0</v>
      </c>
    </row>
    <row r="529" spans="1:25" s="1775" customFormat="1">
      <c r="A529" s="1799" t="s">
        <v>20</v>
      </c>
      <c r="B529" s="1809">
        <v>2601.6999999999998</v>
      </c>
      <c r="C529" s="3115"/>
      <c r="D529" s="1837">
        <v>2702.2</v>
      </c>
      <c r="E529" s="1810"/>
      <c r="F529" s="1837">
        <v>2875.4</v>
      </c>
      <c r="G529" s="1810"/>
      <c r="H529" s="1837">
        <v>3167.8</v>
      </c>
      <c r="I529" s="1810"/>
      <c r="J529" s="1837">
        <v>3369.4</v>
      </c>
      <c r="K529" s="1830"/>
      <c r="L529" s="1823">
        <v>3415.1</v>
      </c>
      <c r="M529" s="1830"/>
      <c r="N529" s="1823">
        <v>3415.1</v>
      </c>
      <c r="O529" s="1830"/>
      <c r="P529" s="1823">
        <v>3415.1</v>
      </c>
      <c r="Q529" s="1830"/>
      <c r="R529" s="1796">
        <v>3415.1</v>
      </c>
      <c r="S529" s="1598"/>
      <c r="T529" s="3191">
        <f t="shared" ref="T529:T532" si="631">(((N529/B529)^(1/6)-1))</f>
        <v>4.6383865914578326E-2</v>
      </c>
      <c r="U529" s="77"/>
      <c r="V529" s="78">
        <f t="shared" ref="V529:V534" si="632">(P529-N529)/N529</f>
        <v>0</v>
      </c>
      <c r="W529" s="77"/>
      <c r="X529" s="3192">
        <f t="shared" ref="X529:X534" si="633">(R529-P529)/P529</f>
        <v>0</v>
      </c>
    </row>
    <row r="530" spans="1:25" s="1775" customFormat="1">
      <c r="A530" s="1799" t="s">
        <v>17</v>
      </c>
      <c r="B530" s="1809">
        <v>37.700000000000003</v>
      </c>
      <c r="C530" s="3115"/>
      <c r="D530" s="1837">
        <v>39.1</v>
      </c>
      <c r="E530" s="1810"/>
      <c r="F530" s="1837">
        <v>50.9</v>
      </c>
      <c r="G530" s="1810"/>
      <c r="H530" s="1837">
        <v>33.6</v>
      </c>
      <c r="I530" s="1810"/>
      <c r="J530" s="1837">
        <v>65.7</v>
      </c>
      <c r="K530" s="1830"/>
      <c r="L530" s="1823">
        <v>69.86</v>
      </c>
      <c r="M530" s="1830"/>
      <c r="N530" s="1823">
        <v>69.86</v>
      </c>
      <c r="O530" s="1830"/>
      <c r="P530" s="1823">
        <v>69.86</v>
      </c>
      <c r="Q530" s="1830"/>
      <c r="R530" s="1796">
        <v>69.86</v>
      </c>
      <c r="S530" s="1598"/>
      <c r="T530" s="3191">
        <f t="shared" si="631"/>
        <v>0.10827585523226402</v>
      </c>
      <c r="U530" s="77"/>
      <c r="V530" s="78">
        <f t="shared" si="632"/>
        <v>0</v>
      </c>
      <c r="W530" s="77"/>
      <c r="X530" s="3192">
        <f t="shared" si="633"/>
        <v>0</v>
      </c>
    </row>
    <row r="531" spans="1:25" s="1775" customFormat="1">
      <c r="A531" s="1799" t="s">
        <v>154</v>
      </c>
      <c r="B531" s="1809">
        <v>0</v>
      </c>
      <c r="C531" s="3115"/>
      <c r="D531" s="1837">
        <v>0</v>
      </c>
      <c r="E531" s="1810"/>
      <c r="F531" s="1837">
        <v>0</v>
      </c>
      <c r="G531" s="1810"/>
      <c r="H531" s="1837">
        <v>25</v>
      </c>
      <c r="I531" s="1810"/>
      <c r="J531" s="1837">
        <v>0</v>
      </c>
      <c r="K531" s="1830"/>
      <c r="L531" s="1823">
        <v>0</v>
      </c>
      <c r="M531" s="1830"/>
      <c r="N531" s="1823">
        <v>0</v>
      </c>
      <c r="O531" s="1830"/>
      <c r="P531" s="1823">
        <v>0</v>
      </c>
      <c r="Q531" s="1830"/>
      <c r="R531" s="1796">
        <v>0</v>
      </c>
      <c r="S531" s="1598"/>
      <c r="T531" s="3191"/>
      <c r="U531" s="77"/>
      <c r="V531" s="78"/>
      <c r="W531" s="77"/>
      <c r="X531" s="3192"/>
    </row>
    <row r="532" spans="1:25" s="1775" customFormat="1">
      <c r="A532" s="1799" t="s">
        <v>21</v>
      </c>
      <c r="B532" s="1595">
        <f>SUM(B533:B535)</f>
        <v>48.6</v>
      </c>
      <c r="C532" s="3065"/>
      <c r="D532" s="1597">
        <f>SUM(D533:D535)</f>
        <v>47.3</v>
      </c>
      <c r="E532" s="1596"/>
      <c r="F532" s="1597">
        <f>SUM(F533:F535)</f>
        <v>57.2</v>
      </c>
      <c r="G532" s="1596"/>
      <c r="H532" s="1597">
        <f>SUM(H533:H535)</f>
        <v>42.199999999999996</v>
      </c>
      <c r="I532" s="1596"/>
      <c r="J532" s="1597">
        <f>SUM(J533:J535)</f>
        <v>58.4</v>
      </c>
      <c r="K532" s="1596"/>
      <c r="L532" s="1597">
        <f>SUM(L533:L535)</f>
        <v>45.53</v>
      </c>
      <c r="M532" s="1596"/>
      <c r="N532" s="1597">
        <f>SUM(N533:N535)</f>
        <v>45.53</v>
      </c>
      <c r="O532" s="1596"/>
      <c r="P532" s="1597">
        <f>SUM(P533:P535)</f>
        <v>45.53</v>
      </c>
      <c r="Q532" s="1596"/>
      <c r="R532" s="122">
        <f>SUM(R533:R535)</f>
        <v>45.53</v>
      </c>
      <c r="S532" s="1598"/>
      <c r="T532" s="3197">
        <f t="shared" si="631"/>
        <v>-1.0816424136609215E-2</v>
      </c>
      <c r="U532" s="1480"/>
      <c r="V532" s="1479">
        <f t="shared" si="632"/>
        <v>0</v>
      </c>
      <c r="W532" s="1480"/>
      <c r="X532" s="3198">
        <f t="shared" si="633"/>
        <v>0</v>
      </c>
    </row>
    <row r="533" spans="1:25" s="1775" customFormat="1">
      <c r="A533" s="1799" t="s">
        <v>20</v>
      </c>
      <c r="B533" s="1809">
        <v>46.5</v>
      </c>
      <c r="C533" s="1642"/>
      <c r="D533" s="1837">
        <v>45.8</v>
      </c>
      <c r="E533" s="1642"/>
      <c r="F533" s="1655">
        <v>55.2</v>
      </c>
      <c r="G533" s="1642"/>
      <c r="H533" s="1837">
        <v>40.799999999999997</v>
      </c>
      <c r="I533" s="1642"/>
      <c r="J533" s="1837">
        <v>53.6</v>
      </c>
      <c r="K533" s="1830"/>
      <c r="L533" s="1823">
        <v>41.79</v>
      </c>
      <c r="M533" s="1830"/>
      <c r="N533" s="1823">
        <v>41.79</v>
      </c>
      <c r="O533" s="1830"/>
      <c r="P533" s="1823">
        <v>41.79</v>
      </c>
      <c r="Q533" s="1830"/>
      <c r="R533" s="1796">
        <v>41.79</v>
      </c>
      <c r="S533" s="1598"/>
      <c r="T533" s="3191">
        <f>(((N533/B533)^(1/6)-1))</f>
        <v>-1.7641735820400517E-2</v>
      </c>
      <c r="U533" s="77"/>
      <c r="V533" s="78">
        <f t="shared" si="632"/>
        <v>0</v>
      </c>
      <c r="W533" s="77"/>
      <c r="X533" s="3192">
        <f t="shared" si="633"/>
        <v>0</v>
      </c>
    </row>
    <row r="534" spans="1:25" s="1775" customFormat="1">
      <c r="A534" s="1799" t="s">
        <v>17</v>
      </c>
      <c r="B534" s="1809">
        <v>2.1</v>
      </c>
      <c r="C534" s="3115"/>
      <c r="D534" s="1837">
        <v>1.5</v>
      </c>
      <c r="E534" s="1810"/>
      <c r="F534" s="1837">
        <v>2</v>
      </c>
      <c r="G534" s="1810"/>
      <c r="H534" s="1837">
        <v>1.4</v>
      </c>
      <c r="I534" s="1810"/>
      <c r="J534" s="1837">
        <v>4.8</v>
      </c>
      <c r="K534" s="1830"/>
      <c r="L534" s="1823">
        <v>3.74</v>
      </c>
      <c r="M534" s="1830"/>
      <c r="N534" s="1823">
        <v>3.74</v>
      </c>
      <c r="O534" s="1830"/>
      <c r="P534" s="1823">
        <v>3.74</v>
      </c>
      <c r="Q534" s="1830"/>
      <c r="R534" s="1796">
        <v>3.74</v>
      </c>
      <c r="S534" s="1598"/>
      <c r="T534" s="3191">
        <f t="shared" ref="T534" si="634">(((N534/B534)^(1/6)-1))</f>
        <v>0.10096974498227862</v>
      </c>
      <c r="U534" s="77"/>
      <c r="V534" s="78">
        <f t="shared" si="632"/>
        <v>0</v>
      </c>
      <c r="W534" s="77"/>
      <c r="X534" s="3192">
        <f t="shared" si="633"/>
        <v>0</v>
      </c>
    </row>
    <row r="535" spans="1:25" s="1775" customFormat="1">
      <c r="A535" s="1799" t="s">
        <v>154</v>
      </c>
      <c r="B535" s="1809">
        <v>0</v>
      </c>
      <c r="C535" s="3115"/>
      <c r="D535" s="1837">
        <v>0</v>
      </c>
      <c r="E535" s="1810"/>
      <c r="F535" s="1837">
        <v>0</v>
      </c>
      <c r="G535" s="1810"/>
      <c r="H535" s="1837">
        <v>0</v>
      </c>
      <c r="I535" s="1810"/>
      <c r="J535" s="1837">
        <v>0</v>
      </c>
      <c r="K535" s="1830"/>
      <c r="L535" s="1823">
        <v>0</v>
      </c>
      <c r="M535" s="1830"/>
      <c r="N535" s="1823">
        <v>0</v>
      </c>
      <c r="O535" s="1830"/>
      <c r="P535" s="1823">
        <v>0</v>
      </c>
      <c r="Q535" s="1830"/>
      <c r="R535" s="1796">
        <v>0</v>
      </c>
      <c r="S535" s="1598"/>
      <c r="T535" s="3191"/>
      <c r="U535" s="77"/>
      <c r="V535" s="78"/>
      <c r="W535" s="77"/>
      <c r="X535" s="3192"/>
    </row>
    <row r="536" spans="1:25" s="1775" customFormat="1">
      <c r="A536" s="1802" t="s">
        <v>22</v>
      </c>
      <c r="B536" s="1595">
        <f>SUM(B537:B539)</f>
        <v>0</v>
      </c>
      <c r="C536" s="3065"/>
      <c r="D536" s="1597">
        <f>SUM(D537:D539)</f>
        <v>0</v>
      </c>
      <c r="E536" s="1596"/>
      <c r="F536" s="1597">
        <f>SUM(F537:F539)</f>
        <v>0</v>
      </c>
      <c r="G536" s="1596"/>
      <c r="H536" s="1597">
        <f>SUM(H537:H539)</f>
        <v>0</v>
      </c>
      <c r="I536" s="1596"/>
      <c r="J536" s="1597">
        <f>SUM(J537:J539)</f>
        <v>0</v>
      </c>
      <c r="K536" s="1596"/>
      <c r="L536" s="1597">
        <f>SUM(L537:L539)</f>
        <v>0</v>
      </c>
      <c r="M536" s="1596"/>
      <c r="N536" s="1597">
        <f>SUM(N537:N539)</f>
        <v>0</v>
      </c>
      <c r="O536" s="1596"/>
      <c r="P536" s="1597">
        <f>SUM(P537:P539)</f>
        <v>0</v>
      </c>
      <c r="Q536" s="1596"/>
      <c r="R536" s="122">
        <f>SUM(R537:R539)</f>
        <v>0</v>
      </c>
      <c r="S536" s="1598"/>
      <c r="T536" s="3197">
        <v>0</v>
      </c>
      <c r="U536" s="1480"/>
      <c r="V536" s="1479">
        <v>0</v>
      </c>
      <c r="W536" s="1480"/>
      <c r="X536" s="3198">
        <v>0</v>
      </c>
    </row>
    <row r="537" spans="1:25" s="1775" customFormat="1">
      <c r="A537" s="1799" t="s">
        <v>20</v>
      </c>
      <c r="B537" s="1811">
        <v>0</v>
      </c>
      <c r="C537" s="3115"/>
      <c r="D537" s="1838">
        <v>0</v>
      </c>
      <c r="E537" s="1810"/>
      <c r="F537" s="1838">
        <v>0</v>
      </c>
      <c r="G537" s="1810"/>
      <c r="H537" s="1838">
        <v>0</v>
      </c>
      <c r="I537" s="1810"/>
      <c r="J537" s="1838">
        <v>0</v>
      </c>
      <c r="K537" s="1830"/>
      <c r="L537" s="1838">
        <v>0</v>
      </c>
      <c r="M537" s="1830"/>
      <c r="N537" s="1838">
        <v>0</v>
      </c>
      <c r="O537" s="1830"/>
      <c r="P537" s="1838">
        <v>0</v>
      </c>
      <c r="Q537" s="1830"/>
      <c r="R537" s="1646">
        <v>0</v>
      </c>
      <c r="S537" s="1598"/>
      <c r="T537" s="3191"/>
      <c r="U537" s="77"/>
      <c r="V537" s="78"/>
      <c r="W537" s="77"/>
      <c r="X537" s="3192"/>
    </row>
    <row r="538" spans="1:25" s="1775" customFormat="1">
      <c r="A538" s="1799" t="s">
        <v>17</v>
      </c>
      <c r="B538" s="1811">
        <v>0</v>
      </c>
      <c r="C538" s="3115"/>
      <c r="D538" s="1838">
        <v>0</v>
      </c>
      <c r="E538" s="1810"/>
      <c r="F538" s="1838">
        <v>0</v>
      </c>
      <c r="G538" s="1810"/>
      <c r="H538" s="1838">
        <v>0</v>
      </c>
      <c r="I538" s="1810"/>
      <c r="J538" s="1838">
        <v>0</v>
      </c>
      <c r="K538" s="1830"/>
      <c r="L538" s="1838">
        <v>0</v>
      </c>
      <c r="M538" s="1830"/>
      <c r="N538" s="1838">
        <v>0</v>
      </c>
      <c r="O538" s="1830"/>
      <c r="P538" s="1838">
        <v>0</v>
      </c>
      <c r="Q538" s="1830"/>
      <c r="R538" s="1646">
        <v>0</v>
      </c>
      <c r="S538" s="1598"/>
      <c r="T538" s="3191"/>
      <c r="U538" s="77"/>
      <c r="V538" s="78"/>
      <c r="W538" s="77"/>
      <c r="X538" s="3192"/>
    </row>
    <row r="539" spans="1:25" s="1775" customFormat="1" ht="13.8" thickBot="1">
      <c r="A539" s="102" t="s">
        <v>154</v>
      </c>
      <c r="B539" s="1812">
        <v>0</v>
      </c>
      <c r="C539" s="2666"/>
      <c r="D539" s="1839">
        <v>0</v>
      </c>
      <c r="E539" s="1813"/>
      <c r="F539" s="1839">
        <v>0</v>
      </c>
      <c r="G539" s="1813"/>
      <c r="H539" s="1839">
        <v>0</v>
      </c>
      <c r="I539" s="1813"/>
      <c r="J539" s="1839">
        <v>0</v>
      </c>
      <c r="K539" s="1834"/>
      <c r="L539" s="1839">
        <v>0</v>
      </c>
      <c r="M539" s="1834"/>
      <c r="N539" s="1839">
        <v>0</v>
      </c>
      <c r="O539" s="1834"/>
      <c r="P539" s="1839">
        <v>0</v>
      </c>
      <c r="Q539" s="1834"/>
      <c r="R539" s="1656">
        <v>0</v>
      </c>
      <c r="S539" s="1599"/>
      <c r="T539" s="3193"/>
      <c r="U539" s="3194"/>
      <c r="V539" s="3195"/>
      <c r="W539" s="3194"/>
      <c r="X539" s="3196"/>
    </row>
    <row r="540" spans="1:25" s="1775" customFormat="1" ht="13.8" thickTop="1">
      <c r="A540" s="1814" t="s">
        <v>25</v>
      </c>
      <c r="B540" s="123">
        <f>B528+B532+B536</f>
        <v>2687.9999999999995</v>
      </c>
      <c r="C540" s="124"/>
      <c r="D540" s="1601">
        <f>D528+D532+D536</f>
        <v>2788.6</v>
      </c>
      <c r="E540" s="124"/>
      <c r="F540" s="1601">
        <f>F528+F532+F536</f>
        <v>2983.5</v>
      </c>
      <c r="G540" s="124"/>
      <c r="H540" s="1601">
        <f>H528+H532+H536</f>
        <v>3268.6</v>
      </c>
      <c r="I540" s="124"/>
      <c r="J540" s="1601">
        <f>J528+J532+J536</f>
        <v>3493.5</v>
      </c>
      <c r="K540" s="124"/>
      <c r="L540" s="1601">
        <f>L528+L532+L536</f>
        <v>3530.4900000000002</v>
      </c>
      <c r="M540" s="124"/>
      <c r="N540" s="1601">
        <f>N528+N532+N536</f>
        <v>3530.4900000000002</v>
      </c>
      <c r="O540" s="124"/>
      <c r="P540" s="1597">
        <f>P528+P532+P536</f>
        <v>3530.4900000000002</v>
      </c>
      <c r="Q540" s="124"/>
      <c r="R540" s="122">
        <f>R528+R532+R536</f>
        <v>3530.4900000000002</v>
      </c>
      <c r="S540" s="124"/>
      <c r="T540" s="3197">
        <f t="shared" ref="T540" si="635">(((N540/B540)^(1/6)-1))</f>
        <v>4.648808242571878E-2</v>
      </c>
      <c r="U540" s="1480"/>
      <c r="V540" s="1479">
        <f t="shared" ref="V540" si="636">(P540-N540)/N540</f>
        <v>0</v>
      </c>
      <c r="W540" s="1480"/>
      <c r="X540" s="3198">
        <f t="shared" ref="X540" si="637">(R540-P540)/P540</f>
        <v>0</v>
      </c>
    </row>
    <row r="541" spans="1:25" s="1775" customFormat="1" ht="8.25" customHeight="1" thickBot="1">
      <c r="A541" s="1806"/>
      <c r="B541" s="126"/>
      <c r="C541" s="3068"/>
      <c r="D541" s="1598"/>
      <c r="E541" s="1598"/>
      <c r="F541" s="1598"/>
      <c r="G541" s="1598"/>
      <c r="H541" s="1598"/>
      <c r="I541" s="1598"/>
      <c r="J541" s="1598"/>
      <c r="K541" s="1598"/>
      <c r="L541" s="1598"/>
      <c r="M541" s="1598"/>
      <c r="N541" s="1598"/>
      <c r="O541" s="1598"/>
      <c r="P541" s="1596"/>
      <c r="Q541" s="1598"/>
      <c r="R541" s="127"/>
      <c r="S541" s="1598"/>
      <c r="T541" s="84"/>
      <c r="U541" s="34"/>
      <c r="V541" s="34"/>
      <c r="W541" s="34"/>
      <c r="X541" s="42"/>
    </row>
    <row r="542" spans="1:25" s="1775" customFormat="1">
      <c r="A542" s="1797" t="s">
        <v>78</v>
      </c>
      <c r="B542" s="1807"/>
      <c r="C542" s="3097"/>
      <c r="D542" s="1808"/>
      <c r="E542" s="1836"/>
      <c r="F542" s="1808"/>
      <c r="G542" s="1836"/>
      <c r="H542" s="1835"/>
      <c r="I542" s="1836"/>
      <c r="J542" s="1835"/>
      <c r="K542" s="1836"/>
      <c r="L542" s="1835"/>
      <c r="M542" s="1836"/>
      <c r="N542" s="1835"/>
      <c r="O542" s="1836"/>
      <c r="P542" s="1798"/>
      <c r="Q542" s="1836"/>
      <c r="R542" s="1628"/>
      <c r="S542" s="1600"/>
      <c r="T542" s="86"/>
      <c r="U542" s="45"/>
      <c r="V542" s="47"/>
      <c r="W542" s="45"/>
      <c r="X542" s="85"/>
    </row>
    <row r="543" spans="1:25" s="1775" customFormat="1">
      <c r="A543" s="1802" t="s">
        <v>79</v>
      </c>
      <c r="B543" s="1815">
        <v>79</v>
      </c>
      <c r="C543" s="3119"/>
      <c r="D543" s="1817">
        <v>200</v>
      </c>
      <c r="E543" s="1816"/>
      <c r="F543" s="1817">
        <v>390</v>
      </c>
      <c r="G543" s="1816"/>
      <c r="H543" s="1840">
        <v>826</v>
      </c>
      <c r="I543" s="1816"/>
      <c r="J543" s="1840">
        <v>1368</v>
      </c>
      <c r="K543" s="1828"/>
      <c r="L543" s="1824">
        <v>2726</v>
      </c>
      <c r="M543" s="1825"/>
      <c r="N543" s="1824">
        <v>2726</v>
      </c>
      <c r="O543" s="1825"/>
      <c r="P543" s="1824">
        <v>2726</v>
      </c>
      <c r="Q543" s="1825"/>
      <c r="R543" s="1774">
        <v>2726</v>
      </c>
      <c r="S543" s="1596"/>
      <c r="T543" s="3191">
        <f t="shared" ref="T543:T544" si="638">(((N543/B543)^(1/6)-1))</f>
        <v>0.80433203569006628</v>
      </c>
      <c r="U543" s="77"/>
      <c r="V543" s="78">
        <f t="shared" ref="V543:V544" si="639">(P543-N543)/N543</f>
        <v>0</v>
      </c>
      <c r="W543" s="77"/>
      <c r="X543" s="3192">
        <f t="shared" ref="X543:X544" si="640">(R543-P543)/P543</f>
        <v>0</v>
      </c>
    </row>
    <row r="544" spans="1:25" s="1775" customFormat="1" ht="13.8" thickBot="1">
      <c r="A544" s="1818" t="s">
        <v>80</v>
      </c>
      <c r="B544" s="1819">
        <v>22.3</v>
      </c>
      <c r="C544" s="3125"/>
      <c r="D544" s="1821">
        <v>48.5</v>
      </c>
      <c r="E544" s="1820"/>
      <c r="F544" s="1821">
        <v>84.3</v>
      </c>
      <c r="G544" s="1820"/>
      <c r="H544" s="1841">
        <v>179</v>
      </c>
      <c r="I544" s="1820"/>
      <c r="J544" s="1841">
        <v>387.3</v>
      </c>
      <c r="K544" s="1842"/>
      <c r="L544" s="1826">
        <v>705.4</v>
      </c>
      <c r="M544" s="1827"/>
      <c r="N544" s="1826">
        <v>705.4</v>
      </c>
      <c r="O544" s="1827"/>
      <c r="P544" s="1826">
        <v>705.4</v>
      </c>
      <c r="Q544" s="1827"/>
      <c r="R544" s="1649">
        <v>705.4</v>
      </c>
      <c r="S544" s="97"/>
      <c r="T544" s="3191">
        <f t="shared" si="638"/>
        <v>0.77836853366263026</v>
      </c>
      <c r="U544" s="77"/>
      <c r="V544" s="78">
        <f t="shared" si="639"/>
        <v>0</v>
      </c>
      <c r="W544" s="77"/>
      <c r="X544" s="3192">
        <f t="shared" si="640"/>
        <v>0</v>
      </c>
      <c r="Y544" s="3259"/>
    </row>
    <row r="545" spans="1:24" s="2293" customFormat="1" ht="13.8" thickBot="1">
      <c r="A545" s="111"/>
      <c r="B545" s="112"/>
      <c r="C545" s="112"/>
      <c r="D545" s="112"/>
      <c r="E545" s="112"/>
      <c r="F545" s="113"/>
      <c r="G545" s="112"/>
      <c r="H545" s="112"/>
      <c r="I545" s="112"/>
      <c r="J545" s="112"/>
      <c r="K545" s="112"/>
      <c r="L545" s="112"/>
      <c r="M545" s="112"/>
      <c r="N545" s="112"/>
      <c r="O545" s="112"/>
      <c r="P545" s="112"/>
      <c r="Q545" s="112"/>
      <c r="R545" s="112"/>
      <c r="S545" s="112"/>
      <c r="T545" s="112"/>
      <c r="U545" s="112"/>
      <c r="V545" s="112"/>
      <c r="W545" s="112"/>
      <c r="X545" s="112"/>
    </row>
    <row r="546" spans="1:24" s="2295" customFormat="1">
      <c r="A546" s="114" t="s">
        <v>217</v>
      </c>
      <c r="B546" s="2171" t="s">
        <v>13</v>
      </c>
      <c r="C546" s="3051"/>
      <c r="D546" s="2173" t="s">
        <v>13</v>
      </c>
      <c r="E546" s="2172"/>
      <c r="F546" s="2174" t="s">
        <v>13</v>
      </c>
      <c r="G546" s="2172"/>
      <c r="H546" s="2174" t="s">
        <v>13</v>
      </c>
      <c r="I546" s="2172"/>
      <c r="J546" s="2174" t="s">
        <v>13</v>
      </c>
      <c r="K546" s="2172"/>
      <c r="L546" s="2175" t="s">
        <v>14</v>
      </c>
      <c r="M546" s="2172"/>
      <c r="N546" s="2175" t="s">
        <v>15</v>
      </c>
      <c r="O546" s="2172"/>
      <c r="P546" s="2176" t="s">
        <v>16</v>
      </c>
      <c r="Q546" s="2172"/>
      <c r="R546" s="1881" t="s">
        <v>16</v>
      </c>
      <c r="S546" s="2172"/>
      <c r="T546" s="1882" t="s">
        <v>62</v>
      </c>
      <c r="U546" s="2178"/>
      <c r="V546" s="2177" t="s">
        <v>75</v>
      </c>
      <c r="W546" s="2178"/>
      <c r="X546" s="2179" t="s">
        <v>75</v>
      </c>
    </row>
    <row r="547" spans="1:24" s="2295" customFormat="1" ht="13.8" thickBot="1">
      <c r="A547" s="2181"/>
      <c r="B547" s="2182" t="s">
        <v>3</v>
      </c>
      <c r="C547" s="3053"/>
      <c r="D547" s="2184" t="s">
        <v>4</v>
      </c>
      <c r="E547" s="2183"/>
      <c r="F547" s="2185" t="s">
        <v>5</v>
      </c>
      <c r="G547" s="2183"/>
      <c r="H547" s="2186" t="s">
        <v>6</v>
      </c>
      <c r="I547" s="2183"/>
      <c r="J547" s="2186" t="s">
        <v>7</v>
      </c>
      <c r="K547" s="2183"/>
      <c r="L547" s="2186" t="s">
        <v>8</v>
      </c>
      <c r="M547" s="2183"/>
      <c r="N547" s="2186" t="s">
        <v>9</v>
      </c>
      <c r="O547" s="2183"/>
      <c r="P547" s="2187" t="s">
        <v>10</v>
      </c>
      <c r="Q547" s="2183"/>
      <c r="R547" s="1893" t="s">
        <v>11</v>
      </c>
      <c r="S547" s="2183"/>
      <c r="T547" s="1894" t="s">
        <v>63</v>
      </c>
      <c r="U547" s="2189"/>
      <c r="V547" s="2188" t="s">
        <v>76</v>
      </c>
      <c r="W547" s="2189"/>
      <c r="X547" s="2190" t="s">
        <v>77</v>
      </c>
    </row>
    <row r="548" spans="1:24" s="2293" customFormat="1">
      <c r="A548" s="2191" t="s">
        <v>81</v>
      </c>
      <c r="B548" s="115"/>
      <c r="C548" s="3073"/>
      <c r="D548" s="116"/>
      <c r="E548" s="1867"/>
      <c r="F548" s="116"/>
      <c r="G548" s="1867"/>
      <c r="H548" s="117"/>
      <c r="I548" s="1867"/>
      <c r="J548" s="117"/>
      <c r="K548" s="1867"/>
      <c r="L548" s="117"/>
      <c r="M548" s="1867"/>
      <c r="N548" s="117"/>
      <c r="O548" s="1867"/>
      <c r="P548" s="118"/>
      <c r="Q548" s="1867"/>
      <c r="R548" s="119"/>
      <c r="S548" s="1867"/>
      <c r="T548" s="120"/>
      <c r="U548" s="1867"/>
      <c r="V548" s="117"/>
      <c r="W548" s="1867"/>
      <c r="X548" s="121"/>
    </row>
    <row r="549" spans="1:24" s="2293" customFormat="1">
      <c r="A549" s="2297" t="s">
        <v>19</v>
      </c>
      <c r="B549" s="2298">
        <f>SUM(B550:B552)</f>
        <v>11327</v>
      </c>
      <c r="C549" s="3065"/>
      <c r="D549" s="2300">
        <f>SUM(D550:D552)</f>
        <v>11457</v>
      </c>
      <c r="E549" s="2299"/>
      <c r="F549" s="2300">
        <f>SUM(F550:F552)</f>
        <v>10960</v>
      </c>
      <c r="G549" s="2299"/>
      <c r="H549" s="2300">
        <f>SUM(H550:H552)</f>
        <v>11020</v>
      </c>
      <c r="I549" s="2299"/>
      <c r="J549" s="2300">
        <f>SUM(J550:J552)</f>
        <v>12411</v>
      </c>
      <c r="K549" s="2299"/>
      <c r="L549" s="2300">
        <f>SUM(L550:L552)</f>
        <v>12470</v>
      </c>
      <c r="M549" s="2299"/>
      <c r="N549" s="2300">
        <f>SUM(N550:N552)</f>
        <v>12470</v>
      </c>
      <c r="O549" s="2299"/>
      <c r="P549" s="2300">
        <f>SUM(P550:P552)</f>
        <v>12720</v>
      </c>
      <c r="Q549" s="2299"/>
      <c r="R549" s="122">
        <f>SUM(R550:R552)</f>
        <v>12974</v>
      </c>
      <c r="S549" s="2299"/>
      <c r="T549" s="3188">
        <f>(((N549/B549)^(1/6)-1))</f>
        <v>1.6151803184889735E-2</v>
      </c>
      <c r="U549" s="25"/>
      <c r="V549" s="3189">
        <f>(P549-N549)/N549</f>
        <v>2.0048115477145148E-2</v>
      </c>
      <c r="W549" s="25"/>
      <c r="X549" s="3190">
        <f>(R549-P549)/P549</f>
        <v>1.9968553459119496E-2</v>
      </c>
    </row>
    <row r="550" spans="1:24" s="2293" customFormat="1">
      <c r="A550" s="2297" t="s">
        <v>20</v>
      </c>
      <c r="B550" s="2316">
        <v>10015</v>
      </c>
      <c r="C550" s="2317"/>
      <c r="D550" s="2318">
        <v>10036</v>
      </c>
      <c r="E550" s="2317"/>
      <c r="F550" s="2318">
        <v>9418</v>
      </c>
      <c r="G550" s="2317"/>
      <c r="H550" s="2318">
        <v>9397</v>
      </c>
      <c r="I550" s="2317"/>
      <c r="J550" s="2318">
        <v>10539</v>
      </c>
      <c r="K550" s="2317"/>
      <c r="L550" s="2318">
        <v>10390</v>
      </c>
      <c r="M550" s="2317"/>
      <c r="N550" s="2318">
        <v>10390</v>
      </c>
      <c r="O550" s="2317"/>
      <c r="P550" s="2322">
        <v>10599</v>
      </c>
      <c r="Q550" s="2317"/>
      <c r="R550" s="2323">
        <v>10811</v>
      </c>
      <c r="S550" s="2301"/>
      <c r="T550" s="3191">
        <f t="shared" ref="T550:T553" si="641">(((N550/B550)^(1/6)-1))</f>
        <v>6.1454455737157687E-3</v>
      </c>
      <c r="U550" s="77"/>
      <c r="V550" s="78">
        <f t="shared" ref="V550:V561" si="642">(P550-N550)/N550</f>
        <v>2.0115495668912416E-2</v>
      </c>
      <c r="W550" s="77"/>
      <c r="X550" s="3192">
        <f t="shared" ref="X550:X561" si="643">(R550-P550)/P550</f>
        <v>2.0001886970468914E-2</v>
      </c>
    </row>
    <row r="551" spans="1:24" s="2293" customFormat="1">
      <c r="A551" s="2297" t="s">
        <v>17</v>
      </c>
      <c r="B551" s="2316">
        <v>1312</v>
      </c>
      <c r="C551" s="2317"/>
      <c r="D551" s="2318">
        <v>1421</v>
      </c>
      <c r="E551" s="2317"/>
      <c r="F551" s="2318">
        <v>1542</v>
      </c>
      <c r="G551" s="2317"/>
      <c r="H551" s="2318">
        <v>1623</v>
      </c>
      <c r="I551" s="2317"/>
      <c r="J551" s="2318">
        <v>1872</v>
      </c>
      <c r="K551" s="2317"/>
      <c r="L551" s="2318">
        <v>2080</v>
      </c>
      <c r="M551" s="2317"/>
      <c r="N551" s="2318">
        <v>2080</v>
      </c>
      <c r="O551" s="2317"/>
      <c r="P551" s="2322">
        <v>2121</v>
      </c>
      <c r="Q551" s="2317"/>
      <c r="R551" s="2323">
        <v>2163</v>
      </c>
      <c r="S551" s="2301"/>
      <c r="T551" s="3191">
        <f t="shared" si="641"/>
        <v>7.9828825713963436E-2</v>
      </c>
      <c r="U551" s="77"/>
      <c r="V551" s="78">
        <f t="shared" si="642"/>
        <v>1.9711538461538461E-2</v>
      </c>
      <c r="W551" s="77"/>
      <c r="X551" s="3192">
        <f t="shared" si="643"/>
        <v>1.9801980198019802E-2</v>
      </c>
    </row>
    <row r="552" spans="1:24" s="2293" customFormat="1">
      <c r="A552" s="2297" t="s">
        <v>154</v>
      </c>
      <c r="B552" s="2316">
        <v>0</v>
      </c>
      <c r="C552" s="2317"/>
      <c r="D552" s="2318">
        <v>0</v>
      </c>
      <c r="E552" s="2317"/>
      <c r="F552" s="2318">
        <v>0</v>
      </c>
      <c r="G552" s="2317"/>
      <c r="H552" s="2318">
        <v>0</v>
      </c>
      <c r="I552" s="2317"/>
      <c r="J552" s="2318">
        <v>0</v>
      </c>
      <c r="K552" s="2317"/>
      <c r="L552" s="2318">
        <v>0</v>
      </c>
      <c r="M552" s="2317"/>
      <c r="N552" s="2318">
        <v>0</v>
      </c>
      <c r="O552" s="2317"/>
      <c r="P552" s="2371">
        <v>0</v>
      </c>
      <c r="Q552" s="2317"/>
      <c r="R552" s="2372">
        <v>0</v>
      </c>
      <c r="S552" s="2301"/>
      <c r="T552" s="3191"/>
      <c r="U552" s="77"/>
      <c r="V552" s="78"/>
      <c r="W552" s="77"/>
      <c r="X552" s="3192"/>
    </row>
    <row r="553" spans="1:24" s="2293" customFormat="1">
      <c r="A553" s="2297" t="s">
        <v>21</v>
      </c>
      <c r="B553" s="2298">
        <f>SUM(B554:B556)</f>
        <v>3248</v>
      </c>
      <c r="C553" s="3065"/>
      <c r="D553" s="2300">
        <f>SUM(D554:D556)</f>
        <v>3262</v>
      </c>
      <c r="E553" s="2299"/>
      <c r="F553" s="2300">
        <f>SUM(F554:F556)</f>
        <v>3569</v>
      </c>
      <c r="G553" s="2299"/>
      <c r="H553" s="2300">
        <f>SUM(H554:H556)</f>
        <v>3186</v>
      </c>
      <c r="I553" s="2299"/>
      <c r="J553" s="2300">
        <f>SUM(J554:J556)</f>
        <v>3118</v>
      </c>
      <c r="K553" s="2299"/>
      <c r="L553" s="2300">
        <f>SUM(L554:L556)</f>
        <v>2923</v>
      </c>
      <c r="M553" s="2299"/>
      <c r="N553" s="2300">
        <f>SUM(N554:N556)</f>
        <v>2923</v>
      </c>
      <c r="O553" s="2299"/>
      <c r="P553" s="2300">
        <f>SUM(P554:P556)</f>
        <v>2982</v>
      </c>
      <c r="Q553" s="2299"/>
      <c r="R553" s="122">
        <f>SUM(R554:R556)</f>
        <v>3042</v>
      </c>
      <c r="S553" s="2301"/>
      <c r="T553" s="3197">
        <f t="shared" si="641"/>
        <v>-1.7418011005073009E-2</v>
      </c>
      <c r="U553" s="1480"/>
      <c r="V553" s="1479">
        <f t="shared" si="642"/>
        <v>2.0184741703729046E-2</v>
      </c>
      <c r="W553" s="1480"/>
      <c r="X553" s="3198">
        <f t="shared" si="643"/>
        <v>2.0120724346076459E-2</v>
      </c>
    </row>
    <row r="554" spans="1:24" s="2293" customFormat="1">
      <c r="A554" s="2297" t="s">
        <v>20</v>
      </c>
      <c r="B554" s="2329">
        <v>1843</v>
      </c>
      <c r="C554" s="2335"/>
      <c r="D554" s="2331">
        <v>1881</v>
      </c>
      <c r="E554" s="2330"/>
      <c r="F554" s="2331">
        <v>2226</v>
      </c>
      <c r="G554" s="2330"/>
      <c r="H554" s="2331">
        <v>1882</v>
      </c>
      <c r="I554" s="2330"/>
      <c r="J554" s="2331">
        <v>1797</v>
      </c>
      <c r="K554" s="2330"/>
      <c r="L554" s="2331">
        <v>1698</v>
      </c>
      <c r="M554" s="2330"/>
      <c r="N554" s="2331">
        <v>1698</v>
      </c>
      <c r="O554" s="2330"/>
      <c r="P554" s="2332">
        <v>1732</v>
      </c>
      <c r="Q554" s="2330"/>
      <c r="R554" s="2333">
        <v>1767</v>
      </c>
      <c r="S554" s="2301"/>
      <c r="T554" s="3191">
        <f>(((N554/B554)^(1/6)-1))</f>
        <v>-1.3564427802872814E-2</v>
      </c>
      <c r="U554" s="77"/>
      <c r="V554" s="78">
        <f t="shared" si="642"/>
        <v>2.0023557126030624E-2</v>
      </c>
      <c r="W554" s="77"/>
      <c r="X554" s="3192">
        <f t="shared" si="643"/>
        <v>2.0207852193995381E-2</v>
      </c>
    </row>
    <row r="555" spans="1:24" s="2293" customFormat="1">
      <c r="A555" s="2297" t="s">
        <v>17</v>
      </c>
      <c r="B555" s="2329">
        <v>1405</v>
      </c>
      <c r="C555" s="2335"/>
      <c r="D555" s="2331">
        <v>1381</v>
      </c>
      <c r="E555" s="2330"/>
      <c r="F555" s="2331">
        <v>1343</v>
      </c>
      <c r="G555" s="2330"/>
      <c r="H555" s="2331">
        <v>1304</v>
      </c>
      <c r="I555" s="2330"/>
      <c r="J555" s="2331">
        <v>1321</v>
      </c>
      <c r="K555" s="2330"/>
      <c r="L555" s="2331">
        <v>1225</v>
      </c>
      <c r="M555" s="2330"/>
      <c r="N555" s="2331">
        <v>1225</v>
      </c>
      <c r="O555" s="2330"/>
      <c r="P555" s="2332">
        <v>1250</v>
      </c>
      <c r="Q555" s="2330"/>
      <c r="R555" s="2333">
        <v>1275</v>
      </c>
      <c r="S555" s="2301"/>
      <c r="T555" s="3191">
        <f t="shared" ref="T555:T559" si="644">(((N555/B555)^(1/6)-1))</f>
        <v>-2.2590338990603698E-2</v>
      </c>
      <c r="U555" s="77"/>
      <c r="V555" s="78">
        <f t="shared" si="642"/>
        <v>2.0408163265306121E-2</v>
      </c>
      <c r="W555" s="77"/>
      <c r="X555" s="3192">
        <f t="shared" si="643"/>
        <v>0.02</v>
      </c>
    </row>
    <row r="556" spans="1:24" s="2293" customFormat="1">
      <c r="A556" s="2297" t="s">
        <v>154</v>
      </c>
      <c r="B556" s="2316">
        <v>0</v>
      </c>
      <c r="C556" s="2317"/>
      <c r="D556" s="2318">
        <v>0</v>
      </c>
      <c r="E556" s="2317"/>
      <c r="F556" s="2318">
        <v>0</v>
      </c>
      <c r="G556" s="2317"/>
      <c r="H556" s="2318">
        <v>0</v>
      </c>
      <c r="I556" s="2317"/>
      <c r="J556" s="2318">
        <v>0</v>
      </c>
      <c r="K556" s="2317"/>
      <c r="L556" s="2318">
        <v>0</v>
      </c>
      <c r="M556" s="2317"/>
      <c r="N556" s="2318">
        <v>0</v>
      </c>
      <c r="O556" s="2317"/>
      <c r="P556" s="2371">
        <v>0</v>
      </c>
      <c r="Q556" s="2317"/>
      <c r="R556" s="2372">
        <v>0</v>
      </c>
      <c r="S556" s="2301"/>
      <c r="T556" s="3191"/>
      <c r="U556" s="77"/>
      <c r="V556" s="78"/>
      <c r="W556" s="77"/>
      <c r="X556" s="3192"/>
    </row>
    <row r="557" spans="1:24" s="2293" customFormat="1">
      <c r="A557" s="2196" t="s">
        <v>22</v>
      </c>
      <c r="B557" s="2298">
        <f>SUM(B558:B560)</f>
        <v>30</v>
      </c>
      <c r="C557" s="3065"/>
      <c r="D557" s="2300">
        <f>SUM(D558:D560)</f>
        <v>39</v>
      </c>
      <c r="E557" s="2299"/>
      <c r="F557" s="2300">
        <f>SUM(F558:F560)</f>
        <v>44</v>
      </c>
      <c r="G557" s="2299"/>
      <c r="H557" s="2300">
        <f>SUM(H558:H560)</f>
        <v>47</v>
      </c>
      <c r="I557" s="2299"/>
      <c r="J557" s="2300">
        <f>SUM(J558:J560)</f>
        <v>60</v>
      </c>
      <c r="K557" s="2299"/>
      <c r="L557" s="2300">
        <f>SUM(L558:L560)</f>
        <v>65</v>
      </c>
      <c r="M557" s="2299"/>
      <c r="N557" s="2300">
        <f>SUM(N558:N560)</f>
        <v>65</v>
      </c>
      <c r="O557" s="2299"/>
      <c r="P557" s="2300">
        <f>SUM(P558:P560)</f>
        <v>66</v>
      </c>
      <c r="Q557" s="2299"/>
      <c r="R557" s="122">
        <f>SUM(R558:R560)</f>
        <v>67</v>
      </c>
      <c r="S557" s="2301"/>
      <c r="T557" s="3197">
        <f t="shared" si="644"/>
        <v>0.13753652517595438</v>
      </c>
      <c r="U557" s="1480"/>
      <c r="V557" s="1479">
        <f t="shared" si="642"/>
        <v>1.5384615384615385E-2</v>
      </c>
      <c r="W557" s="1480"/>
      <c r="X557" s="3198">
        <f t="shared" si="643"/>
        <v>1.5151515151515152E-2</v>
      </c>
    </row>
    <row r="558" spans="1:24" s="2293" customFormat="1">
      <c r="A558" s="2297" t="s">
        <v>20</v>
      </c>
      <c r="B558" s="2334">
        <v>30</v>
      </c>
      <c r="C558" s="2335"/>
      <c r="D558" s="2336">
        <v>38</v>
      </c>
      <c r="E558" s="2335"/>
      <c r="F558" s="2336">
        <v>43</v>
      </c>
      <c r="G558" s="2335"/>
      <c r="H558" s="2336">
        <v>47</v>
      </c>
      <c r="I558" s="2335"/>
      <c r="J558" s="2336">
        <v>52</v>
      </c>
      <c r="K558" s="2335"/>
      <c r="L558" s="2336">
        <v>53</v>
      </c>
      <c r="M558" s="2335"/>
      <c r="N558" s="2336">
        <v>53</v>
      </c>
      <c r="O558" s="2335"/>
      <c r="P558" s="2337">
        <v>54</v>
      </c>
      <c r="Q558" s="2335"/>
      <c r="R558" s="2338">
        <v>55</v>
      </c>
      <c r="S558" s="2301"/>
      <c r="T558" s="3191">
        <f t="shared" si="644"/>
        <v>9.9492916643212803E-2</v>
      </c>
      <c r="U558" s="77"/>
      <c r="V558" s="78">
        <f t="shared" si="642"/>
        <v>1.8867924528301886E-2</v>
      </c>
      <c r="W558" s="77"/>
      <c r="X558" s="3192">
        <f t="shared" si="643"/>
        <v>1.8518518518518517E-2</v>
      </c>
    </row>
    <row r="559" spans="1:24" s="2293" customFormat="1">
      <c r="A559" s="2297" t="s">
        <v>17</v>
      </c>
      <c r="B559" s="2334"/>
      <c r="C559" s="2335"/>
      <c r="D559" s="2336">
        <v>1</v>
      </c>
      <c r="E559" s="2335"/>
      <c r="F559" s="2336">
        <v>1</v>
      </c>
      <c r="G559" s="2335"/>
      <c r="H559" s="2336"/>
      <c r="I559" s="2335"/>
      <c r="J559" s="2336">
        <v>8</v>
      </c>
      <c r="K559" s="2335"/>
      <c r="L559" s="2336">
        <v>12</v>
      </c>
      <c r="M559" s="2335"/>
      <c r="N559" s="2336">
        <v>12</v>
      </c>
      <c r="O559" s="2335"/>
      <c r="P559" s="2337">
        <v>12</v>
      </c>
      <c r="Q559" s="2335"/>
      <c r="R559" s="2338">
        <v>12</v>
      </c>
      <c r="S559" s="2301"/>
      <c r="T559" s="3202" t="e">
        <f t="shared" si="644"/>
        <v>#DIV/0!</v>
      </c>
      <c r="U559" s="77"/>
      <c r="V559" s="78">
        <f t="shared" si="642"/>
        <v>0</v>
      </c>
      <c r="W559" s="77"/>
      <c r="X559" s="3192">
        <f t="shared" si="643"/>
        <v>0</v>
      </c>
    </row>
    <row r="560" spans="1:24" s="2293" customFormat="1" ht="13.8" thickBot="1">
      <c r="A560" s="1641" t="s">
        <v>154</v>
      </c>
      <c r="B560" s="2319">
        <v>0</v>
      </c>
      <c r="C560" s="2320"/>
      <c r="D560" s="2321">
        <v>0</v>
      </c>
      <c r="E560" s="2320"/>
      <c r="F560" s="2321">
        <v>0</v>
      </c>
      <c r="G560" s="2320"/>
      <c r="H560" s="2321">
        <v>0</v>
      </c>
      <c r="I560" s="2320"/>
      <c r="J560" s="2321">
        <v>0</v>
      </c>
      <c r="K560" s="2320"/>
      <c r="L560" s="2321">
        <v>0</v>
      </c>
      <c r="M560" s="2320"/>
      <c r="N560" s="2321">
        <v>0</v>
      </c>
      <c r="O560" s="2320"/>
      <c r="P560" s="2325">
        <v>0</v>
      </c>
      <c r="Q560" s="2320"/>
      <c r="R560" s="2373">
        <v>0</v>
      </c>
      <c r="S560" s="1866"/>
      <c r="T560" s="3193"/>
      <c r="U560" s="3194"/>
      <c r="V560" s="3195"/>
      <c r="W560" s="3194"/>
      <c r="X560" s="3196"/>
    </row>
    <row r="561" spans="1:36" s="2293" customFormat="1">
      <c r="A561" s="2208" t="s">
        <v>23</v>
      </c>
      <c r="B561" s="123">
        <f>B549+B553+B557</f>
        <v>14605</v>
      </c>
      <c r="C561" s="124"/>
      <c r="D561" s="1869">
        <f>D549+D553+D557</f>
        <v>14758</v>
      </c>
      <c r="E561" s="124"/>
      <c r="F561" s="1869">
        <f>F549+F553+F557</f>
        <v>14573</v>
      </c>
      <c r="G561" s="124"/>
      <c r="H561" s="1869">
        <f>H549+H553+H557</f>
        <v>14253</v>
      </c>
      <c r="I561" s="124"/>
      <c r="J561" s="1869">
        <f>J549+J553+J557</f>
        <v>15589</v>
      </c>
      <c r="K561" s="124"/>
      <c r="L561" s="1869">
        <f>L549+L553+L557</f>
        <v>15458</v>
      </c>
      <c r="M561" s="124"/>
      <c r="N561" s="1869">
        <f>N549+N553+N557</f>
        <v>15458</v>
      </c>
      <c r="O561" s="124"/>
      <c r="P561" s="2300">
        <f>P549+P553+P557</f>
        <v>15768</v>
      </c>
      <c r="Q561" s="124"/>
      <c r="R561" s="122">
        <f>R549+R553+R557</f>
        <v>16083</v>
      </c>
      <c r="S561" s="124"/>
      <c r="T561" s="3197">
        <f t="shared" ref="T561" si="645">(((N561/B561)^(1/6)-1))</f>
        <v>9.5053470362504999E-3</v>
      </c>
      <c r="U561" s="1480"/>
      <c r="V561" s="1479">
        <f t="shared" si="642"/>
        <v>2.0054340794410663E-2</v>
      </c>
      <c r="W561" s="1480"/>
      <c r="X561" s="3198">
        <f t="shared" si="643"/>
        <v>1.9977168949771688E-2</v>
      </c>
    </row>
    <row r="562" spans="1:36" s="2293" customFormat="1" ht="8.25" customHeight="1" thickBot="1">
      <c r="A562" s="2200"/>
      <c r="B562" s="126"/>
      <c r="C562" s="3068"/>
      <c r="D562" s="2301"/>
      <c r="E562" s="2301"/>
      <c r="F562" s="2301"/>
      <c r="G562" s="2301"/>
      <c r="H562" s="2301"/>
      <c r="I562" s="2301"/>
      <c r="J562" s="2301"/>
      <c r="K562" s="2301"/>
      <c r="L562" s="2301"/>
      <c r="M562" s="2301"/>
      <c r="N562" s="2301"/>
      <c r="O562" s="2301"/>
      <c r="P562" s="2299"/>
      <c r="Q562" s="2301"/>
      <c r="R562" s="127"/>
      <c r="S562" s="2301"/>
      <c r="T562" s="84"/>
      <c r="U562" s="34"/>
      <c r="V562" s="34"/>
      <c r="W562" s="34"/>
      <c r="X562" s="42"/>
    </row>
    <row r="563" spans="1:36" s="2293" customFormat="1">
      <c r="A563" s="2191" t="s">
        <v>24</v>
      </c>
      <c r="B563" s="115"/>
      <c r="C563" s="3073"/>
      <c r="D563" s="116"/>
      <c r="E563" s="1867"/>
      <c r="F563" s="116"/>
      <c r="G563" s="1867"/>
      <c r="H563" s="117"/>
      <c r="I563" s="1867"/>
      <c r="J563" s="117"/>
      <c r="K563" s="1867"/>
      <c r="L563" s="117"/>
      <c r="M563" s="1867"/>
      <c r="N563" s="117"/>
      <c r="O563" s="1867"/>
      <c r="P563" s="118"/>
      <c r="Q563" s="1867"/>
      <c r="R563" s="119"/>
      <c r="S563" s="1867"/>
      <c r="T563" s="86"/>
      <c r="U563" s="45"/>
      <c r="V563" s="47"/>
      <c r="W563" s="45"/>
      <c r="X563" s="85"/>
    </row>
    <row r="564" spans="1:36" s="2293" customFormat="1">
      <c r="A564" s="2297" t="s">
        <v>19</v>
      </c>
      <c r="B564" s="2298">
        <f>SUM(B565:B567)</f>
        <v>8083.7</v>
      </c>
      <c r="C564" s="3065"/>
      <c r="D564" s="2300">
        <f>SUM(D565:D567)</f>
        <v>7936.2</v>
      </c>
      <c r="E564" s="2299"/>
      <c r="F564" s="2300">
        <f>SUM(F565:F567)</f>
        <v>7780.6</v>
      </c>
      <c r="G564" s="2299"/>
      <c r="H564" s="2300">
        <f>SUM(H565:H567)</f>
        <v>7957.8</v>
      </c>
      <c r="I564" s="2299"/>
      <c r="J564" s="2300">
        <f>SUM(J565:J567)</f>
        <v>8810.2000000000007</v>
      </c>
      <c r="K564" s="2299"/>
      <c r="L564" s="2300">
        <f>SUM(L565:L567)</f>
        <v>8617</v>
      </c>
      <c r="M564" s="2299"/>
      <c r="N564" s="2300">
        <f>SUM(N565:N567)</f>
        <v>8617</v>
      </c>
      <c r="O564" s="2299"/>
      <c r="P564" s="2300">
        <f>SUM(P565:P567)</f>
        <v>8789.2999999999993</v>
      </c>
      <c r="Q564" s="2299"/>
      <c r="R564" s="122">
        <f>SUM(R565:R567)</f>
        <v>8965</v>
      </c>
      <c r="S564" s="2299"/>
      <c r="T564" s="3188">
        <f>(((N564/B564)^(1/6)-1))</f>
        <v>1.0704775089606544E-2</v>
      </c>
      <c r="U564" s="25"/>
      <c r="V564" s="3189">
        <f>(P564-N564)/N564</f>
        <v>1.9995358013229578E-2</v>
      </c>
      <c r="W564" s="25"/>
      <c r="X564" s="3190">
        <f>(R564-P564)/P564</f>
        <v>1.9990215375513494E-2</v>
      </c>
    </row>
    <row r="565" spans="1:36" s="2293" customFormat="1">
      <c r="A565" s="2297" t="s">
        <v>20</v>
      </c>
      <c r="B565" s="2339">
        <v>7145.9</v>
      </c>
      <c r="C565" s="2350"/>
      <c r="D565" s="2341">
        <v>6955.5</v>
      </c>
      <c r="E565" s="2340"/>
      <c r="F565" s="2341">
        <v>6708.1</v>
      </c>
      <c r="G565" s="2340"/>
      <c r="H565" s="2341">
        <v>6830</v>
      </c>
      <c r="I565" s="2340"/>
      <c r="J565" s="2341">
        <v>7486.8</v>
      </c>
      <c r="K565" s="2340"/>
      <c r="L565" s="2341">
        <v>7140.5</v>
      </c>
      <c r="M565" s="2340"/>
      <c r="N565" s="2341">
        <v>7140.5</v>
      </c>
      <c r="O565" s="2340"/>
      <c r="P565" s="2342">
        <v>7283.3</v>
      </c>
      <c r="Q565" s="2340"/>
      <c r="R565" s="2343">
        <v>7428.9</v>
      </c>
      <c r="S565" s="2301"/>
      <c r="T565" s="3191">
        <f t="shared" ref="T565:T568" si="646">(((N565/B565)^(1/6)-1))</f>
        <v>-1.2598602138513826E-4</v>
      </c>
      <c r="U565" s="77"/>
      <c r="V565" s="78">
        <f t="shared" ref="V565:V574" si="647">(P565-N565)/N565</f>
        <v>1.9998599537847515E-2</v>
      </c>
      <c r="W565" s="77"/>
      <c r="X565" s="3192">
        <f t="shared" ref="X565:X574" si="648">(R565-P565)/P565</f>
        <v>1.9990938173630009E-2</v>
      </c>
    </row>
    <row r="566" spans="1:36" s="2293" customFormat="1">
      <c r="A566" s="2297" t="s">
        <v>17</v>
      </c>
      <c r="B566" s="2339">
        <v>937.8</v>
      </c>
      <c r="C566" s="2350"/>
      <c r="D566" s="2341">
        <v>980.7</v>
      </c>
      <c r="E566" s="2340"/>
      <c r="F566" s="2341">
        <v>1072.5</v>
      </c>
      <c r="G566" s="2340"/>
      <c r="H566" s="2341">
        <v>1127.8</v>
      </c>
      <c r="I566" s="2340"/>
      <c r="J566" s="2341">
        <v>1323.4</v>
      </c>
      <c r="K566" s="2340"/>
      <c r="L566" s="2341">
        <v>1476.5</v>
      </c>
      <c r="M566" s="2340"/>
      <c r="N566" s="2341">
        <v>1476.5</v>
      </c>
      <c r="O566" s="2340"/>
      <c r="P566" s="2342">
        <v>1506</v>
      </c>
      <c r="Q566" s="2340"/>
      <c r="R566" s="2343">
        <v>1536.1</v>
      </c>
      <c r="S566" s="2301"/>
      <c r="T566" s="3191">
        <f t="shared" si="646"/>
        <v>7.8583744003060563E-2</v>
      </c>
      <c r="U566" s="77"/>
      <c r="V566" s="78">
        <f t="shared" si="647"/>
        <v>1.9979681679647816E-2</v>
      </c>
      <c r="W566" s="77"/>
      <c r="X566" s="3192">
        <f t="shared" si="648"/>
        <v>1.9986719787516542E-2</v>
      </c>
    </row>
    <row r="567" spans="1:36" s="2293" customFormat="1">
      <c r="A567" s="2297" t="s">
        <v>154</v>
      </c>
      <c r="B567" s="2316">
        <v>0</v>
      </c>
      <c r="C567" s="2317"/>
      <c r="D567" s="2318">
        <v>0</v>
      </c>
      <c r="E567" s="2317"/>
      <c r="F567" s="2318">
        <v>0</v>
      </c>
      <c r="G567" s="2317"/>
      <c r="H567" s="2318">
        <v>0</v>
      </c>
      <c r="I567" s="2317"/>
      <c r="J567" s="2318">
        <v>0</v>
      </c>
      <c r="K567" s="2317"/>
      <c r="L567" s="2318">
        <v>0</v>
      </c>
      <c r="M567" s="2317"/>
      <c r="N567" s="2318">
        <v>0</v>
      </c>
      <c r="O567" s="2317"/>
      <c r="P567" s="2371">
        <v>0</v>
      </c>
      <c r="Q567" s="2317"/>
      <c r="R567" s="2372">
        <v>0</v>
      </c>
      <c r="S567" s="2301"/>
      <c r="T567" s="3191"/>
      <c r="U567" s="77"/>
      <c r="V567" s="78"/>
      <c r="W567" s="77"/>
      <c r="X567" s="3192"/>
    </row>
    <row r="568" spans="1:36" s="2293" customFormat="1">
      <c r="A568" s="2297" t="s">
        <v>21</v>
      </c>
      <c r="B568" s="2298">
        <f>SUM(B569:B571)</f>
        <v>1387.8</v>
      </c>
      <c r="C568" s="3065"/>
      <c r="D568" s="2300">
        <f>SUM(D569:D571)</f>
        <v>1385.8</v>
      </c>
      <c r="E568" s="2299"/>
      <c r="F568" s="2300">
        <f>SUM(F569:F571)</f>
        <v>1431.1</v>
      </c>
      <c r="G568" s="2299"/>
      <c r="H568" s="2300">
        <f>SUM(H569:H571)</f>
        <v>1415.1</v>
      </c>
      <c r="I568" s="2299"/>
      <c r="J568" s="2300">
        <f>SUM(J569:J571)</f>
        <v>1447.6</v>
      </c>
      <c r="K568" s="2299"/>
      <c r="L568" s="2300">
        <f>SUM(L569:L571)</f>
        <v>1429.2</v>
      </c>
      <c r="M568" s="2299"/>
      <c r="N568" s="2300">
        <f>SUM(N569:N571)</f>
        <v>1429.2</v>
      </c>
      <c r="O568" s="2299"/>
      <c r="P568" s="2300">
        <f>SUM(P569:P571)</f>
        <v>1457.8000000000002</v>
      </c>
      <c r="Q568" s="2299"/>
      <c r="R568" s="122">
        <f>SUM(R569:R571)</f>
        <v>1486.9</v>
      </c>
      <c r="S568" s="2301"/>
      <c r="T568" s="3197">
        <f t="shared" si="646"/>
        <v>4.9112018916117606E-3</v>
      </c>
      <c r="U568" s="1480"/>
      <c r="V568" s="1479">
        <f t="shared" si="647"/>
        <v>2.0011195074167463E-2</v>
      </c>
      <c r="W568" s="1480"/>
      <c r="X568" s="3198">
        <f t="shared" si="648"/>
        <v>1.9961585951433602E-2</v>
      </c>
    </row>
    <row r="569" spans="1:36" s="2293" customFormat="1">
      <c r="A569" s="2297" t="s">
        <v>20</v>
      </c>
      <c r="B569" s="2344">
        <v>706.8</v>
      </c>
      <c r="C569" s="2350"/>
      <c r="D569" s="2346">
        <v>747.8</v>
      </c>
      <c r="E569" s="2345"/>
      <c r="F569" s="2346">
        <v>821.8</v>
      </c>
      <c r="G569" s="2345"/>
      <c r="H569" s="2346">
        <v>784.1</v>
      </c>
      <c r="I569" s="2345"/>
      <c r="J569" s="2346">
        <v>804.3</v>
      </c>
      <c r="K569" s="2345"/>
      <c r="L569" s="2346">
        <v>795.2</v>
      </c>
      <c r="M569" s="2345"/>
      <c r="N569" s="2346">
        <v>795.2</v>
      </c>
      <c r="O569" s="2345"/>
      <c r="P569" s="2347">
        <v>811.1</v>
      </c>
      <c r="Q569" s="2345"/>
      <c r="R569" s="2348">
        <v>827.3</v>
      </c>
      <c r="S569" s="2301"/>
      <c r="T569" s="3191">
        <f>(((N569/B569)^(1/6)-1))</f>
        <v>1.9835139014902303E-2</v>
      </c>
      <c r="U569" s="77"/>
      <c r="V569" s="78">
        <f t="shared" si="647"/>
        <v>1.9994969818913452E-2</v>
      </c>
      <c r="W569" s="77"/>
      <c r="X569" s="3192">
        <f t="shared" si="648"/>
        <v>1.9972876340771707E-2</v>
      </c>
    </row>
    <row r="570" spans="1:36" s="2293" customFormat="1">
      <c r="A570" s="2297" t="s">
        <v>17</v>
      </c>
      <c r="B570" s="2344">
        <v>681</v>
      </c>
      <c r="C570" s="2350"/>
      <c r="D570" s="2346">
        <v>638</v>
      </c>
      <c r="E570" s="2345"/>
      <c r="F570" s="2346">
        <v>609.29999999999995</v>
      </c>
      <c r="G570" s="2345"/>
      <c r="H570" s="2346">
        <v>631</v>
      </c>
      <c r="I570" s="2345"/>
      <c r="J570" s="2346">
        <v>643.29999999999995</v>
      </c>
      <c r="K570" s="2345"/>
      <c r="L570" s="2346">
        <v>634</v>
      </c>
      <c r="M570" s="2345"/>
      <c r="N570" s="2346">
        <v>634</v>
      </c>
      <c r="O570" s="2345"/>
      <c r="P570" s="2347">
        <v>646.70000000000005</v>
      </c>
      <c r="Q570" s="2345"/>
      <c r="R570" s="2348">
        <v>659.6</v>
      </c>
      <c r="S570" s="2301"/>
      <c r="T570" s="3191">
        <f t="shared" ref="T570:T574" si="649">(((N570/B570)^(1/6)-1))</f>
        <v>-1.1848143320091986E-2</v>
      </c>
      <c r="U570" s="77"/>
      <c r="V570" s="78">
        <f t="shared" si="647"/>
        <v>2.0031545741324992E-2</v>
      </c>
      <c r="W570" s="77"/>
      <c r="X570" s="3192">
        <f t="shared" si="648"/>
        <v>1.9947425390443755E-2</v>
      </c>
    </row>
    <row r="571" spans="1:36" s="2293" customFormat="1">
      <c r="A571" s="2297" t="s">
        <v>154</v>
      </c>
      <c r="B571" s="2316">
        <v>0</v>
      </c>
      <c r="C571" s="2317"/>
      <c r="D571" s="2318">
        <v>0</v>
      </c>
      <c r="E571" s="2317"/>
      <c r="F571" s="2318">
        <v>0</v>
      </c>
      <c r="G571" s="2317"/>
      <c r="H571" s="2318">
        <v>0</v>
      </c>
      <c r="I571" s="2317"/>
      <c r="J571" s="2318">
        <v>0</v>
      </c>
      <c r="K571" s="2317"/>
      <c r="L571" s="2318">
        <v>0</v>
      </c>
      <c r="M571" s="2317"/>
      <c r="N571" s="2318">
        <v>0</v>
      </c>
      <c r="O571" s="2317"/>
      <c r="P571" s="2371">
        <v>0</v>
      </c>
      <c r="Q571" s="2317"/>
      <c r="R571" s="2372">
        <v>0</v>
      </c>
      <c r="S571" s="2301"/>
      <c r="T571" s="3191"/>
      <c r="U571" s="77"/>
      <c r="V571" s="78"/>
      <c r="W571" s="77"/>
      <c r="X571" s="3192"/>
    </row>
    <row r="572" spans="1:36" s="2293" customFormat="1">
      <c r="A572" s="2196" t="s">
        <v>22</v>
      </c>
      <c r="B572" s="2298">
        <f>SUM(B573:B575)</f>
        <v>0</v>
      </c>
      <c r="C572" s="3065"/>
      <c r="D572" s="2300">
        <f>SUM(D573:D575)</f>
        <v>0</v>
      </c>
      <c r="E572" s="2299"/>
      <c r="F572" s="2300">
        <f>SUM(F573:F575)</f>
        <v>0</v>
      </c>
      <c r="G572" s="2299"/>
      <c r="H572" s="2300">
        <f>SUM(H573:H575)</f>
        <v>0</v>
      </c>
      <c r="I572" s="2299"/>
      <c r="J572" s="2300">
        <f>SUM(J573:J575)</f>
        <v>7.5</v>
      </c>
      <c r="K572" s="2299"/>
      <c r="L572" s="2300">
        <f>SUM(L573:L575)</f>
        <v>9.1</v>
      </c>
      <c r="M572" s="2299"/>
      <c r="N572" s="2300">
        <f>SUM(N573:N575)</f>
        <v>9.1</v>
      </c>
      <c r="O572" s="2299"/>
      <c r="P572" s="2300">
        <f>SUM(P573:P575)</f>
        <v>9.3000000000000007</v>
      </c>
      <c r="Q572" s="2299"/>
      <c r="R572" s="122">
        <f>SUM(R573:R575)</f>
        <v>9.5</v>
      </c>
      <c r="S572" s="2301"/>
      <c r="T572" s="3201" t="e">
        <f t="shared" si="649"/>
        <v>#DIV/0!</v>
      </c>
      <c r="U572" s="1480"/>
      <c r="V572" s="1479">
        <f t="shared" si="647"/>
        <v>2.1978021978022098E-2</v>
      </c>
      <c r="W572" s="1480"/>
      <c r="X572" s="3198">
        <f t="shared" si="648"/>
        <v>2.1505376344085943E-2</v>
      </c>
    </row>
    <row r="573" spans="1:36" s="2293" customFormat="1">
      <c r="A573" s="2297" t="s">
        <v>20</v>
      </c>
      <c r="B573" s="2349">
        <v>0</v>
      </c>
      <c r="C573" s="2350"/>
      <c r="D573" s="2351">
        <v>0</v>
      </c>
      <c r="E573" s="2350"/>
      <c r="F573" s="2351">
        <v>0</v>
      </c>
      <c r="G573" s="2350"/>
      <c r="H573" s="2351">
        <v>0</v>
      </c>
      <c r="I573" s="2350"/>
      <c r="J573" s="2351">
        <v>3.9</v>
      </c>
      <c r="K573" s="2350"/>
      <c r="L573" s="2351">
        <v>2.8</v>
      </c>
      <c r="M573" s="2350"/>
      <c r="N573" s="2351">
        <v>2.8</v>
      </c>
      <c r="O573" s="2350"/>
      <c r="P573" s="2352">
        <v>2.9</v>
      </c>
      <c r="Q573" s="2350"/>
      <c r="R573" s="2353">
        <v>3</v>
      </c>
      <c r="S573" s="2301"/>
      <c r="T573" s="3202" t="e">
        <f t="shared" si="649"/>
        <v>#DIV/0!</v>
      </c>
      <c r="U573" s="77"/>
      <c r="V573" s="78">
        <f t="shared" si="647"/>
        <v>3.5714285714285747E-2</v>
      </c>
      <c r="W573" s="77"/>
      <c r="X573" s="3192">
        <f t="shared" si="648"/>
        <v>3.4482758620689689E-2</v>
      </c>
    </row>
    <row r="574" spans="1:36" s="2293" customFormat="1">
      <c r="A574" s="2297" t="s">
        <v>17</v>
      </c>
      <c r="B574" s="2349">
        <v>0</v>
      </c>
      <c r="C574" s="2350"/>
      <c r="D574" s="2351">
        <v>0</v>
      </c>
      <c r="E574" s="2350"/>
      <c r="F574" s="2351">
        <v>0</v>
      </c>
      <c r="G574" s="2350"/>
      <c r="H574" s="2351">
        <v>0</v>
      </c>
      <c r="I574" s="2350"/>
      <c r="J574" s="2351">
        <v>3.6</v>
      </c>
      <c r="K574" s="2350"/>
      <c r="L574" s="2351">
        <v>6.3</v>
      </c>
      <c r="M574" s="2350"/>
      <c r="N574" s="2351">
        <v>6.3</v>
      </c>
      <c r="O574" s="2350"/>
      <c r="P574" s="2352">
        <v>6.4</v>
      </c>
      <c r="Q574" s="2350"/>
      <c r="R574" s="2353">
        <v>6.5</v>
      </c>
      <c r="S574" s="2301"/>
      <c r="T574" s="3202" t="e">
        <f t="shared" si="649"/>
        <v>#DIV/0!</v>
      </c>
      <c r="U574" s="77"/>
      <c r="V574" s="78">
        <f t="shared" si="647"/>
        <v>1.5873015873015959E-2</v>
      </c>
      <c r="W574" s="77"/>
      <c r="X574" s="3192">
        <f t="shared" si="648"/>
        <v>1.5624999999999944E-2</v>
      </c>
    </row>
    <row r="575" spans="1:36" s="2293" customFormat="1" ht="13.8" thickBot="1">
      <c r="A575" s="102" t="s">
        <v>154</v>
      </c>
      <c r="B575" s="2319">
        <v>0</v>
      </c>
      <c r="C575" s="2320"/>
      <c r="D575" s="2321">
        <v>0</v>
      </c>
      <c r="E575" s="2320"/>
      <c r="F575" s="2321">
        <v>0</v>
      </c>
      <c r="G575" s="2320"/>
      <c r="H575" s="2321">
        <v>0</v>
      </c>
      <c r="I575" s="2320"/>
      <c r="J575" s="2321">
        <v>0</v>
      </c>
      <c r="K575" s="2320"/>
      <c r="L575" s="2321">
        <v>0</v>
      </c>
      <c r="M575" s="2320"/>
      <c r="N575" s="2321">
        <v>0</v>
      </c>
      <c r="O575" s="2320"/>
      <c r="P575" s="2325">
        <v>0</v>
      </c>
      <c r="Q575" s="2320"/>
      <c r="R575" s="2373">
        <v>0</v>
      </c>
      <c r="S575" s="1866"/>
      <c r="T575" s="3193">
        <v>0</v>
      </c>
      <c r="U575" s="3194"/>
      <c r="V575" s="3195">
        <v>0</v>
      </c>
      <c r="W575" s="3194"/>
      <c r="X575" s="3196">
        <v>0</v>
      </c>
      <c r="Z575" s="3716"/>
      <c r="AA575" s="3716"/>
      <c r="AB575" s="3716"/>
      <c r="AC575" s="3716"/>
      <c r="AD575" s="3716"/>
      <c r="AE575" s="3716"/>
      <c r="AF575" s="3716"/>
      <c r="AG575" s="3716"/>
      <c r="AH575" s="3716"/>
      <c r="AI575" s="3716"/>
      <c r="AJ575" s="3716"/>
    </row>
    <row r="576" spans="1:36" s="2293" customFormat="1" ht="13.8" thickTop="1">
      <c r="A576" s="2208" t="s">
        <v>25</v>
      </c>
      <c r="B576" s="123">
        <f>B564+B568+B572</f>
        <v>9471.5</v>
      </c>
      <c r="C576" s="124"/>
      <c r="D576" s="1869">
        <f>D564+D568+D572</f>
        <v>9322</v>
      </c>
      <c r="E576" s="124"/>
      <c r="F576" s="1869">
        <f>F564+F568+F572</f>
        <v>9211.7000000000007</v>
      </c>
      <c r="G576" s="124"/>
      <c r="H576" s="1869">
        <f>H564+H568+H572</f>
        <v>9372.9</v>
      </c>
      <c r="I576" s="124"/>
      <c r="J576" s="1869">
        <f>J564+J568+J572</f>
        <v>10265.300000000001</v>
      </c>
      <c r="K576" s="124"/>
      <c r="L576" s="1869">
        <f>L564+L568+L572</f>
        <v>10055.300000000001</v>
      </c>
      <c r="M576" s="124"/>
      <c r="N576" s="1869">
        <f>N564+N568+N572</f>
        <v>10055.300000000001</v>
      </c>
      <c r="O576" s="124"/>
      <c r="P576" s="2300">
        <f>P564+P568+P572</f>
        <v>10256.399999999998</v>
      </c>
      <c r="Q576" s="124"/>
      <c r="R576" s="122">
        <f>R564+R568+R572</f>
        <v>10461.4</v>
      </c>
      <c r="S576" s="124"/>
      <c r="T576" s="3197">
        <f t="shared" ref="T576" si="650">(((N576/B576)^(1/6)-1))</f>
        <v>1.0018615140983123E-2</v>
      </c>
      <c r="U576" s="1480"/>
      <c r="V576" s="1479">
        <f t="shared" ref="V576" si="651">(P576-N576)/N576</f>
        <v>1.9999403299752042E-2</v>
      </c>
      <c r="W576" s="1480"/>
      <c r="X576" s="3198">
        <f t="shared" ref="X576" si="652">(R576-P576)/P576</f>
        <v>1.9987519987520169E-2</v>
      </c>
    </row>
    <row r="577" spans="1:25" s="2293" customFormat="1" ht="8.25" customHeight="1" thickBot="1">
      <c r="A577" s="2200"/>
      <c r="B577" s="126"/>
      <c r="C577" s="3068"/>
      <c r="D577" s="2301"/>
      <c r="E577" s="2301"/>
      <c r="F577" s="2301"/>
      <c r="G577" s="2301"/>
      <c r="H577" s="2301"/>
      <c r="I577" s="2301"/>
      <c r="J577" s="2301"/>
      <c r="K577" s="2301"/>
      <c r="L577" s="2301"/>
      <c r="M577" s="2301"/>
      <c r="N577" s="2301"/>
      <c r="O577" s="2301"/>
      <c r="P577" s="2299"/>
      <c r="Q577" s="2301"/>
      <c r="R577" s="127"/>
      <c r="S577" s="2301"/>
      <c r="T577" s="84"/>
      <c r="U577" s="34"/>
      <c r="V577" s="34"/>
      <c r="W577" s="34"/>
      <c r="X577" s="42"/>
    </row>
    <row r="578" spans="1:25" s="2293" customFormat="1">
      <c r="A578" s="2191" t="s">
        <v>78</v>
      </c>
      <c r="B578" s="2201"/>
      <c r="C578" s="3097"/>
      <c r="D578" s="2202"/>
      <c r="E578" s="2296"/>
      <c r="F578" s="2202"/>
      <c r="G578" s="2296"/>
      <c r="H578" s="2235"/>
      <c r="I578" s="2296"/>
      <c r="J578" s="2235"/>
      <c r="K578" s="2296"/>
      <c r="L578" s="2235"/>
      <c r="M578" s="2296"/>
      <c r="N578" s="2235"/>
      <c r="O578" s="2296"/>
      <c r="P578" s="2192"/>
      <c r="Q578" s="2296"/>
      <c r="R578" s="1899"/>
      <c r="S578" s="1867"/>
      <c r="T578" s="86"/>
      <c r="U578" s="45"/>
      <c r="V578" s="47"/>
      <c r="W578" s="45"/>
      <c r="X578" s="85"/>
    </row>
    <row r="579" spans="1:25" s="2293" customFormat="1">
      <c r="A579" s="2196" t="s">
        <v>79</v>
      </c>
      <c r="B579" s="2312">
        <v>356</v>
      </c>
      <c r="C579" s="2311"/>
      <c r="D579" s="2315">
        <v>413</v>
      </c>
      <c r="E579" s="2311"/>
      <c r="F579" s="2315">
        <v>635</v>
      </c>
      <c r="G579" s="2311"/>
      <c r="H579" s="2314">
        <v>655</v>
      </c>
      <c r="I579" s="2311"/>
      <c r="J579" s="2314">
        <v>841</v>
      </c>
      <c r="K579" s="2311"/>
      <c r="L579" s="2314">
        <v>822</v>
      </c>
      <c r="M579" s="2311"/>
      <c r="N579" s="2314">
        <v>822</v>
      </c>
      <c r="O579" s="2311"/>
      <c r="P579" s="2313">
        <v>838</v>
      </c>
      <c r="Q579" s="2311"/>
      <c r="R579" s="2310">
        <v>855</v>
      </c>
      <c r="S579" s="2299"/>
      <c r="T579" s="3191">
        <f t="shared" ref="T579:T580" si="653">(((N579/B579)^(1/6)-1))</f>
        <v>0.14966233482367941</v>
      </c>
      <c r="U579" s="77"/>
      <c r="V579" s="78">
        <f t="shared" ref="V579:V580" si="654">(P579-N579)/N579</f>
        <v>1.9464720194647202E-2</v>
      </c>
      <c r="W579" s="77"/>
      <c r="X579" s="3192">
        <f t="shared" ref="X579:X580" si="655">(R579-P579)/P579</f>
        <v>2.028639618138425E-2</v>
      </c>
    </row>
    <row r="580" spans="1:25" s="2293" customFormat="1" ht="13.8" thickBot="1">
      <c r="A580" s="2212" t="s">
        <v>80</v>
      </c>
      <c r="B580" s="2308">
        <v>45</v>
      </c>
      <c r="C580" s="2309"/>
      <c r="D580" s="2326">
        <v>50.4</v>
      </c>
      <c r="E580" s="2309"/>
      <c r="F580" s="2326">
        <v>72.5</v>
      </c>
      <c r="G580" s="2309"/>
      <c r="H580" s="2327">
        <v>75.599999999999994</v>
      </c>
      <c r="I580" s="2309"/>
      <c r="J580" s="2327">
        <v>106.4</v>
      </c>
      <c r="K580" s="2309"/>
      <c r="L580" s="2327">
        <v>103.9</v>
      </c>
      <c r="M580" s="2309"/>
      <c r="N580" s="2327">
        <v>103.9</v>
      </c>
      <c r="O580" s="2309"/>
      <c r="P580" s="2328">
        <v>106</v>
      </c>
      <c r="Q580" s="2309"/>
      <c r="R580" s="2324">
        <v>108.1</v>
      </c>
      <c r="S580" s="97"/>
      <c r="T580" s="3191">
        <f t="shared" si="653"/>
        <v>0.14965404657960901</v>
      </c>
      <c r="U580" s="77"/>
      <c r="V580" s="78">
        <f t="shared" si="654"/>
        <v>2.0211742059672706E-2</v>
      </c>
      <c r="W580" s="77"/>
      <c r="X580" s="3192">
        <f t="shared" si="655"/>
        <v>1.9811320754716928E-2</v>
      </c>
      <c r="Y580" s="3259"/>
    </row>
    <row r="581" spans="1:25" s="2457" customFormat="1" ht="13.8" thickBot="1">
      <c r="A581" s="111"/>
      <c r="B581" s="112"/>
      <c r="C581" s="112"/>
      <c r="D581" s="112"/>
      <c r="E581" s="112"/>
      <c r="F581" s="113"/>
      <c r="G581" s="112"/>
      <c r="H581" s="112"/>
      <c r="I581" s="112"/>
      <c r="J581" s="112"/>
      <c r="K581" s="112"/>
      <c r="L581" s="112"/>
      <c r="M581" s="112"/>
      <c r="N581" s="112"/>
      <c r="O581" s="112"/>
      <c r="P581" s="112"/>
      <c r="Q581" s="112"/>
      <c r="R581" s="112"/>
      <c r="S581" s="112"/>
      <c r="T581" s="112"/>
      <c r="U581" s="112"/>
      <c r="V581" s="112"/>
      <c r="W581" s="112"/>
      <c r="X581" s="112"/>
    </row>
    <row r="582" spans="1:25" s="2458" customFormat="1">
      <c r="A582" s="114" t="s">
        <v>224</v>
      </c>
      <c r="B582" s="2464" t="s">
        <v>13</v>
      </c>
      <c r="C582" s="3051"/>
      <c r="D582" s="2465" t="s">
        <v>13</v>
      </c>
      <c r="E582" s="2172"/>
      <c r="F582" s="2468" t="s">
        <v>13</v>
      </c>
      <c r="G582" s="2172"/>
      <c r="H582" s="2468" t="s">
        <v>13</v>
      </c>
      <c r="I582" s="2172"/>
      <c r="J582" s="2468" t="s">
        <v>13</v>
      </c>
      <c r="K582" s="2172"/>
      <c r="L582" s="2466" t="s">
        <v>14</v>
      </c>
      <c r="M582" s="2172"/>
      <c r="N582" s="2466" t="s">
        <v>15</v>
      </c>
      <c r="O582" s="2172"/>
      <c r="P582" s="2176" t="s">
        <v>16</v>
      </c>
      <c r="Q582" s="2172"/>
      <c r="R582" s="1881" t="s">
        <v>16</v>
      </c>
      <c r="S582" s="2172"/>
      <c r="T582" s="2474" t="s">
        <v>62</v>
      </c>
      <c r="U582" s="2178"/>
      <c r="V582" s="2478" t="s">
        <v>75</v>
      </c>
      <c r="W582" s="2178"/>
      <c r="X582" s="2476" t="s">
        <v>75</v>
      </c>
    </row>
    <row r="583" spans="1:25" s="2458" customFormat="1" ht="13.8" thickBot="1">
      <c r="A583" s="2469"/>
      <c r="B583" s="2463" t="s">
        <v>3</v>
      </c>
      <c r="C583" s="3053"/>
      <c r="D583" s="2459" t="s">
        <v>4</v>
      </c>
      <c r="E583" s="2183"/>
      <c r="F583" s="2460" t="s">
        <v>5</v>
      </c>
      <c r="G583" s="2183"/>
      <c r="H583" s="2461" t="s">
        <v>6</v>
      </c>
      <c r="I583" s="2183"/>
      <c r="J583" s="2461" t="s">
        <v>7</v>
      </c>
      <c r="K583" s="2183"/>
      <c r="L583" s="2461" t="s">
        <v>8</v>
      </c>
      <c r="M583" s="2183"/>
      <c r="N583" s="2461" t="s">
        <v>9</v>
      </c>
      <c r="O583" s="2183"/>
      <c r="P583" s="2187" t="s">
        <v>10</v>
      </c>
      <c r="Q583" s="2183"/>
      <c r="R583" s="1893" t="s">
        <v>11</v>
      </c>
      <c r="S583" s="2183"/>
      <c r="T583" s="2475" t="s">
        <v>63</v>
      </c>
      <c r="U583" s="2189"/>
      <c r="V583" s="2473" t="s">
        <v>76</v>
      </c>
      <c r="W583" s="2189"/>
      <c r="X583" s="2477" t="s">
        <v>77</v>
      </c>
    </row>
    <row r="584" spans="1:25" s="2457" customFormat="1">
      <c r="A584" s="3731" t="s">
        <v>81</v>
      </c>
      <c r="B584" s="115"/>
      <c r="C584" s="3073"/>
      <c r="D584" s="116"/>
      <c r="E584" s="3073"/>
      <c r="F584" s="116"/>
      <c r="G584" s="3073"/>
      <c r="H584" s="117"/>
      <c r="I584" s="3073"/>
      <c r="J584" s="117"/>
      <c r="K584" s="3073"/>
      <c r="L584" s="117"/>
      <c r="M584" s="3073"/>
      <c r="N584" s="117"/>
      <c r="O584" s="3073"/>
      <c r="P584" s="118"/>
      <c r="Q584" s="3073"/>
      <c r="R584" s="119"/>
      <c r="S584" s="1867"/>
      <c r="T584" s="120"/>
      <c r="U584" s="1867"/>
      <c r="V584" s="117"/>
      <c r="W584" s="1867"/>
      <c r="X584" s="121"/>
    </row>
    <row r="585" spans="1:25" s="2457" customFormat="1">
      <c r="A585" s="3734" t="s">
        <v>19</v>
      </c>
      <c r="B585" s="3064">
        <f>SUM(B586:B588)</f>
        <v>17934</v>
      </c>
      <c r="C585" s="3065"/>
      <c r="D585" s="3066">
        <f>SUM(D586:D588)</f>
        <v>17680</v>
      </c>
      <c r="E585" s="3065"/>
      <c r="F585" s="3066">
        <f>SUM(F586:F588)</f>
        <v>17970</v>
      </c>
      <c r="G585" s="3065"/>
      <c r="H585" s="3066">
        <f>SUM(H586:H588)</f>
        <v>19031</v>
      </c>
      <c r="I585" s="3065"/>
      <c r="J585" s="3066">
        <f>SUM(J586:J588)</f>
        <v>19287</v>
      </c>
      <c r="K585" s="3065"/>
      <c r="L585" s="3066">
        <f>SUM(L586:L588)</f>
        <v>19772</v>
      </c>
      <c r="M585" s="3065"/>
      <c r="N585" s="1870">
        <f>SUM(N586:N588)</f>
        <v>19541</v>
      </c>
      <c r="O585" s="3065"/>
      <c r="P585" s="3066">
        <f>SUM(P586:P588)</f>
        <v>19548</v>
      </c>
      <c r="Q585" s="3065"/>
      <c r="R585" s="122">
        <f>SUM(R586:R588)</f>
        <v>19621</v>
      </c>
      <c r="S585" s="2299"/>
      <c r="T585" s="3188">
        <f>(((N585/B585)^(1/6)-1))</f>
        <v>1.4405518628788583E-2</v>
      </c>
      <c r="U585" s="25"/>
      <c r="V585" s="3189">
        <f>(P585-N585)/N585</f>
        <v>3.5822117598894633E-4</v>
      </c>
      <c r="W585" s="25"/>
      <c r="X585" s="3190">
        <f>(R585-P585)/P585</f>
        <v>3.7343973808062207E-3</v>
      </c>
    </row>
    <row r="586" spans="1:25" s="2457" customFormat="1">
      <c r="A586" s="3734" t="s">
        <v>20</v>
      </c>
      <c r="B586" s="3100">
        <v>16270</v>
      </c>
      <c r="C586" s="3101"/>
      <c r="D586" s="3102">
        <v>15744</v>
      </c>
      <c r="E586" s="3101"/>
      <c r="F586" s="3102">
        <v>15912</v>
      </c>
      <c r="G586" s="3101"/>
      <c r="H586" s="3102">
        <v>16683</v>
      </c>
      <c r="I586" s="3101"/>
      <c r="J586" s="3102">
        <v>16889</v>
      </c>
      <c r="K586" s="3103"/>
      <c r="L586" s="3102">
        <v>17304</v>
      </c>
      <c r="M586" s="2317"/>
      <c r="N586" s="3719">
        <v>17148</v>
      </c>
      <c r="O586" s="3737"/>
      <c r="P586" s="3719">
        <v>17149</v>
      </c>
      <c r="Q586" s="3737"/>
      <c r="R586" s="3724">
        <v>17217</v>
      </c>
      <c r="S586" s="2301"/>
      <c r="T586" s="3191">
        <f t="shared" ref="T586:T589" si="656">(((N586/B586)^(1/6)-1))</f>
        <v>8.7982503208654528E-3</v>
      </c>
      <c r="U586" s="77"/>
      <c r="V586" s="78">
        <f t="shared" ref="V586:V597" si="657">(P586-N586)/N586</f>
        <v>5.8315838581758809E-5</v>
      </c>
      <c r="W586" s="77"/>
      <c r="X586" s="3192">
        <f t="shared" ref="X586:X597" si="658">(R586-P586)/P586</f>
        <v>3.9652457869263514E-3</v>
      </c>
    </row>
    <row r="587" spans="1:25" s="2457" customFormat="1">
      <c r="A587" s="3734" t="s">
        <v>17</v>
      </c>
      <c r="B587" s="3100">
        <v>1358</v>
      </c>
      <c r="C587" s="3101"/>
      <c r="D587" s="3102">
        <v>1553</v>
      </c>
      <c r="E587" s="3101"/>
      <c r="F587" s="3102">
        <v>1552</v>
      </c>
      <c r="G587" s="3101"/>
      <c r="H587" s="3102">
        <v>1845</v>
      </c>
      <c r="I587" s="3101"/>
      <c r="J587" s="3102">
        <v>1878</v>
      </c>
      <c r="K587" s="3103"/>
      <c r="L587" s="3102">
        <v>1944</v>
      </c>
      <c r="M587" s="2317"/>
      <c r="N587" s="3719">
        <v>1867</v>
      </c>
      <c r="O587" s="3737"/>
      <c r="P587" s="3719">
        <v>1871</v>
      </c>
      <c r="Q587" s="3737"/>
      <c r="R587" s="3724">
        <v>1875</v>
      </c>
      <c r="S587" s="2301"/>
      <c r="T587" s="3191">
        <f t="shared" si="656"/>
        <v>5.448585394274974E-2</v>
      </c>
      <c r="U587" s="77"/>
      <c r="V587" s="78">
        <f t="shared" si="657"/>
        <v>2.1424745581146223E-3</v>
      </c>
      <c r="W587" s="77"/>
      <c r="X587" s="3192">
        <f t="shared" si="658"/>
        <v>2.137894174238375E-3</v>
      </c>
    </row>
    <row r="588" spans="1:25" s="2457" customFormat="1">
      <c r="A588" s="3734" t="s">
        <v>154</v>
      </c>
      <c r="B588" s="3100">
        <v>306</v>
      </c>
      <c r="C588" s="3101"/>
      <c r="D588" s="3102">
        <v>383</v>
      </c>
      <c r="E588" s="3101"/>
      <c r="F588" s="3102">
        <v>506</v>
      </c>
      <c r="G588" s="3101"/>
      <c r="H588" s="3102">
        <v>503</v>
      </c>
      <c r="I588" s="3101"/>
      <c r="J588" s="3102">
        <v>520</v>
      </c>
      <c r="K588" s="3103"/>
      <c r="L588" s="3102">
        <v>524</v>
      </c>
      <c r="M588" s="2317"/>
      <c r="N588" s="3719">
        <v>526</v>
      </c>
      <c r="O588" s="3737"/>
      <c r="P588" s="3719">
        <v>528</v>
      </c>
      <c r="Q588" s="3737">
        <v>529</v>
      </c>
      <c r="R588" s="3724">
        <v>529</v>
      </c>
      <c r="S588" s="2301"/>
      <c r="T588" s="3191">
        <f t="shared" si="656"/>
        <v>9.4487282513011861E-2</v>
      </c>
      <c r="U588" s="77"/>
      <c r="V588" s="78">
        <f t="shared" si="657"/>
        <v>3.8022813688212928E-3</v>
      </c>
      <c r="W588" s="77"/>
      <c r="X588" s="3192">
        <f t="shared" si="658"/>
        <v>1.893939393939394E-3</v>
      </c>
    </row>
    <row r="589" spans="1:25" s="2457" customFormat="1">
      <c r="A589" s="3734" t="s">
        <v>21</v>
      </c>
      <c r="B589" s="3064">
        <f>SUM(B590:B592)</f>
        <v>4790</v>
      </c>
      <c r="C589" s="3065"/>
      <c r="D589" s="3066">
        <f>SUM(D590:D592)</f>
        <v>5103</v>
      </c>
      <c r="E589" s="3065"/>
      <c r="F589" s="3066">
        <f>SUM(F590:F592)</f>
        <v>5279</v>
      </c>
      <c r="G589" s="3065"/>
      <c r="H589" s="3066">
        <f>SUM(H590:H592)</f>
        <v>5753</v>
      </c>
      <c r="I589" s="3065"/>
      <c r="J589" s="3066">
        <f>SUM(J590:J592)</f>
        <v>5847</v>
      </c>
      <c r="K589" s="3065"/>
      <c r="L589" s="3066">
        <f>SUM(L590:L592)</f>
        <v>6415</v>
      </c>
      <c r="M589" s="3065"/>
      <c r="N589" s="1870">
        <f>SUM(N590:N592)</f>
        <v>6207</v>
      </c>
      <c r="O589" s="3065"/>
      <c r="P589" s="1870">
        <f>SUM(P590:P592)</f>
        <v>6223</v>
      </c>
      <c r="Q589" s="3065"/>
      <c r="R589" s="2637">
        <f>SUM(R590:R592)</f>
        <v>6231</v>
      </c>
      <c r="S589" s="2301"/>
      <c r="T589" s="3197">
        <f t="shared" si="656"/>
        <v>4.4137528086427125E-2</v>
      </c>
      <c r="U589" s="1480"/>
      <c r="V589" s="1479">
        <f t="shared" si="657"/>
        <v>2.5777348155308524E-3</v>
      </c>
      <c r="W589" s="1480"/>
      <c r="X589" s="3198">
        <f t="shared" si="658"/>
        <v>1.2855535915153463E-3</v>
      </c>
    </row>
    <row r="590" spans="1:25" s="2457" customFormat="1">
      <c r="A590" s="3734" t="s">
        <v>20</v>
      </c>
      <c r="B590" s="3100">
        <v>3663</v>
      </c>
      <c r="C590" s="3101"/>
      <c r="D590" s="3102">
        <v>3905</v>
      </c>
      <c r="E590" s="3101"/>
      <c r="F590" s="3102">
        <v>4073</v>
      </c>
      <c r="G590" s="3101"/>
      <c r="H590" s="3102">
        <v>4410</v>
      </c>
      <c r="I590" s="3101"/>
      <c r="J590" s="3102">
        <v>4341</v>
      </c>
      <c r="K590" s="3103"/>
      <c r="L590" s="3102">
        <v>4728</v>
      </c>
      <c r="M590" s="3103"/>
      <c r="N590" s="3736">
        <v>4531</v>
      </c>
      <c r="O590" s="3737"/>
      <c r="P590" s="3736">
        <v>4543</v>
      </c>
      <c r="Q590" s="3737"/>
      <c r="R590" s="3725">
        <v>4548</v>
      </c>
      <c r="S590" s="2301"/>
      <c r="T590" s="3191">
        <f>(((N590/B590)^(1/6)-1))</f>
        <v>3.6078966733326556E-2</v>
      </c>
      <c r="U590" s="77"/>
      <c r="V590" s="78">
        <f t="shared" si="657"/>
        <v>2.6484219819024497E-3</v>
      </c>
      <c r="W590" s="77"/>
      <c r="X590" s="3192">
        <f t="shared" si="658"/>
        <v>1.1005943209333039E-3</v>
      </c>
    </row>
    <row r="591" spans="1:25" s="2457" customFormat="1">
      <c r="A591" s="3734" t="s">
        <v>17</v>
      </c>
      <c r="B591" s="3100">
        <v>1093</v>
      </c>
      <c r="C591" s="3101"/>
      <c r="D591" s="3102">
        <v>1161</v>
      </c>
      <c r="E591" s="3101"/>
      <c r="F591" s="3102">
        <v>1168</v>
      </c>
      <c r="G591" s="3101"/>
      <c r="H591" s="3102">
        <v>1295</v>
      </c>
      <c r="I591" s="3101"/>
      <c r="J591" s="3102">
        <v>1452</v>
      </c>
      <c r="K591" s="3103"/>
      <c r="L591" s="3102">
        <v>1633</v>
      </c>
      <c r="M591" s="3103"/>
      <c r="N591" s="3736">
        <v>1621</v>
      </c>
      <c r="O591" s="3737">
        <v>1804</v>
      </c>
      <c r="P591" s="3736">
        <v>1624</v>
      </c>
      <c r="Q591" s="3737"/>
      <c r="R591" s="3725">
        <v>1626</v>
      </c>
      <c r="S591" s="2301"/>
      <c r="T591" s="3191">
        <f t="shared" ref="T591:T595" si="659">(((N591/B591)^(1/6)-1))</f>
        <v>6.7891530587558035E-2</v>
      </c>
      <c r="U591" s="77"/>
      <c r="V591" s="78">
        <f t="shared" si="657"/>
        <v>1.8507094386181369E-3</v>
      </c>
      <c r="W591" s="77"/>
      <c r="X591" s="3192">
        <f t="shared" si="658"/>
        <v>1.2315270935960591E-3</v>
      </c>
    </row>
    <row r="592" spans="1:25" s="2457" customFormat="1">
      <c r="A592" s="3734" t="s">
        <v>154</v>
      </c>
      <c r="B592" s="3100">
        <v>34</v>
      </c>
      <c r="C592" s="3101"/>
      <c r="D592" s="3102">
        <v>37</v>
      </c>
      <c r="E592" s="3101"/>
      <c r="F592" s="3102">
        <v>38</v>
      </c>
      <c r="G592" s="3101"/>
      <c r="H592" s="3102">
        <v>48</v>
      </c>
      <c r="I592" s="3101"/>
      <c r="J592" s="3102">
        <v>54</v>
      </c>
      <c r="K592" s="3103"/>
      <c r="L592" s="3102">
        <v>54</v>
      </c>
      <c r="M592" s="3103"/>
      <c r="N592" s="3736">
        <v>55</v>
      </c>
      <c r="O592" s="3737"/>
      <c r="P592" s="3736">
        <v>56</v>
      </c>
      <c r="Q592" s="3737"/>
      <c r="R592" s="3725">
        <v>57</v>
      </c>
      <c r="S592" s="2301"/>
      <c r="T592" s="3191">
        <f t="shared" si="659"/>
        <v>8.3462693687763601E-2</v>
      </c>
      <c r="U592" s="77"/>
      <c r="V592" s="78">
        <f t="shared" si="657"/>
        <v>1.8181818181818181E-2</v>
      </c>
      <c r="W592" s="77"/>
      <c r="X592" s="3192">
        <f t="shared" si="658"/>
        <v>1.7857142857142856E-2</v>
      </c>
    </row>
    <row r="593" spans="1:24" s="2457" customFormat="1">
      <c r="A593" s="3738" t="s">
        <v>22</v>
      </c>
      <c r="B593" s="3064">
        <f>SUM(B594:B596)</f>
        <v>0</v>
      </c>
      <c r="C593" s="3065"/>
      <c r="D593" s="3066">
        <f>SUM(D594:D596)</f>
        <v>0</v>
      </c>
      <c r="E593" s="3065"/>
      <c r="F593" s="3066">
        <f>SUM(F594:F596)</f>
        <v>0</v>
      </c>
      <c r="G593" s="3065"/>
      <c r="H593" s="3066">
        <f>SUM(H594:H596)</f>
        <v>10</v>
      </c>
      <c r="I593" s="3065"/>
      <c r="J593" s="3066">
        <f>SUM(J594:J596)</f>
        <v>19</v>
      </c>
      <c r="K593" s="3065"/>
      <c r="L593" s="3066">
        <f>SUM(L594:L596)</f>
        <v>24</v>
      </c>
      <c r="M593" s="3065"/>
      <c r="N593" s="1870">
        <f>SUM(N594:N596)</f>
        <v>25</v>
      </c>
      <c r="O593" s="3065"/>
      <c r="P593" s="1870">
        <f>SUM(P594:P596)</f>
        <v>26</v>
      </c>
      <c r="Q593" s="3065"/>
      <c r="R593" s="2637">
        <f>SUM(R594:R596)</f>
        <v>26</v>
      </c>
      <c r="S593" s="2301"/>
      <c r="T593" s="3197" t="e">
        <f t="shared" si="659"/>
        <v>#DIV/0!</v>
      </c>
      <c r="U593" s="1480"/>
      <c r="V593" s="1479">
        <f t="shared" si="657"/>
        <v>0.04</v>
      </c>
      <c r="W593" s="1480"/>
      <c r="X593" s="3198">
        <f t="shared" si="658"/>
        <v>0</v>
      </c>
    </row>
    <row r="594" spans="1:24" s="2457" customFormat="1">
      <c r="A594" s="3734" t="s">
        <v>20</v>
      </c>
      <c r="B594" s="2646">
        <v>0</v>
      </c>
      <c r="C594" s="3101"/>
      <c r="D594" s="2647">
        <v>0</v>
      </c>
      <c r="E594" s="3101"/>
      <c r="F594" s="2647">
        <v>0</v>
      </c>
      <c r="G594" s="3101"/>
      <c r="H594" s="2647">
        <v>7</v>
      </c>
      <c r="I594" s="3101"/>
      <c r="J594" s="2647">
        <v>11</v>
      </c>
      <c r="K594" s="3103"/>
      <c r="L594" s="2647">
        <v>16</v>
      </c>
      <c r="M594" s="3103"/>
      <c r="N594" s="3739">
        <v>17</v>
      </c>
      <c r="O594" s="3737"/>
      <c r="P594" s="3739">
        <v>17</v>
      </c>
      <c r="Q594" s="3737"/>
      <c r="R594" s="3726">
        <v>17</v>
      </c>
      <c r="S594" s="2301"/>
      <c r="T594" s="3191" t="e">
        <f t="shared" si="659"/>
        <v>#DIV/0!</v>
      </c>
      <c r="U594" s="77"/>
      <c r="V594" s="78">
        <f t="shared" si="657"/>
        <v>0</v>
      </c>
      <c r="W594" s="77"/>
      <c r="X594" s="3192">
        <f t="shared" si="658"/>
        <v>0</v>
      </c>
    </row>
    <row r="595" spans="1:24" s="2457" customFormat="1">
      <c r="A595" s="3734" t="s">
        <v>17</v>
      </c>
      <c r="B595" s="2646">
        <v>0</v>
      </c>
      <c r="C595" s="3101"/>
      <c r="D595" s="2647">
        <v>0</v>
      </c>
      <c r="E595" s="3101"/>
      <c r="F595" s="2647">
        <v>0</v>
      </c>
      <c r="G595" s="3101"/>
      <c r="H595" s="2647">
        <v>3</v>
      </c>
      <c r="I595" s="3101"/>
      <c r="J595" s="2647">
        <v>8</v>
      </c>
      <c r="K595" s="3103"/>
      <c r="L595" s="2647">
        <v>8</v>
      </c>
      <c r="M595" s="3103"/>
      <c r="N595" s="3739">
        <v>8</v>
      </c>
      <c r="O595" s="3737"/>
      <c r="P595" s="3739">
        <v>9</v>
      </c>
      <c r="Q595" s="3737"/>
      <c r="R595" s="3726">
        <v>9</v>
      </c>
      <c r="S595" s="2301"/>
      <c r="T595" s="3191" t="e">
        <f t="shared" si="659"/>
        <v>#DIV/0!</v>
      </c>
      <c r="U595" s="77"/>
      <c r="V595" s="78">
        <f t="shared" si="657"/>
        <v>0.125</v>
      </c>
      <c r="W595" s="77"/>
      <c r="X595" s="3192">
        <f t="shared" si="658"/>
        <v>0</v>
      </c>
    </row>
    <row r="596" spans="1:24" s="2457" customFormat="1" ht="13.8" thickBot="1">
      <c r="A596" s="1641" t="s">
        <v>154</v>
      </c>
      <c r="B596" s="2648">
        <v>0</v>
      </c>
      <c r="C596" s="3107"/>
      <c r="D596" s="2650">
        <v>0</v>
      </c>
      <c r="E596" s="3107"/>
      <c r="F596" s="2650">
        <v>0</v>
      </c>
      <c r="G596" s="3107"/>
      <c r="H596" s="2650">
        <v>0</v>
      </c>
      <c r="I596" s="3107"/>
      <c r="J596" s="2650">
        <v>0</v>
      </c>
      <c r="K596" s="3108"/>
      <c r="L596" s="2650">
        <v>0</v>
      </c>
      <c r="M596" s="3108"/>
      <c r="N596" s="3740">
        <v>0</v>
      </c>
      <c r="O596" s="3741"/>
      <c r="P596" s="3740">
        <v>0</v>
      </c>
      <c r="Q596" s="3741"/>
      <c r="R596" s="3727">
        <v>0</v>
      </c>
      <c r="S596" s="1866"/>
      <c r="T596" s="3193">
        <v>0</v>
      </c>
      <c r="U596" s="3194"/>
      <c r="V596" s="3195" t="e">
        <f t="shared" si="657"/>
        <v>#DIV/0!</v>
      </c>
      <c r="W596" s="3194"/>
      <c r="X596" s="3196" t="e">
        <f t="shared" si="658"/>
        <v>#DIV/0!</v>
      </c>
    </row>
    <row r="597" spans="1:24" s="2457" customFormat="1" ht="13.8" thickBot="1">
      <c r="A597" s="3156" t="s">
        <v>23</v>
      </c>
      <c r="B597" s="3061">
        <f>B585+B589+B593</f>
        <v>22724</v>
      </c>
      <c r="C597" s="3063"/>
      <c r="D597" s="3062">
        <f>D585+D589+D593</f>
        <v>22783</v>
      </c>
      <c r="E597" s="3063"/>
      <c r="F597" s="3062">
        <f>F585+F589+F593</f>
        <v>23249</v>
      </c>
      <c r="G597" s="3063"/>
      <c r="H597" s="3062">
        <f>H585+H589+H593</f>
        <v>24794</v>
      </c>
      <c r="I597" s="3063"/>
      <c r="J597" s="3062">
        <f>J585+J589+J593</f>
        <v>25153</v>
      </c>
      <c r="K597" s="3063"/>
      <c r="L597" s="3062">
        <f>L585+L589+L593</f>
        <v>26211</v>
      </c>
      <c r="M597" s="3063"/>
      <c r="N597" s="3062">
        <f>N585+N589+N593</f>
        <v>25773</v>
      </c>
      <c r="O597" s="3063"/>
      <c r="P597" s="3728">
        <f>P585+P589+P593</f>
        <v>25797</v>
      </c>
      <c r="Q597" s="3063"/>
      <c r="R597" s="3729">
        <f>R585+R589+R593</f>
        <v>25878</v>
      </c>
      <c r="S597" s="124"/>
      <c r="T597" s="3197">
        <f t="shared" ref="T597" si="660">(((N597/B597)^(1/6)-1))</f>
        <v>2.1206018173656638E-2</v>
      </c>
      <c r="U597" s="1480"/>
      <c r="V597" s="1479">
        <f t="shared" si="657"/>
        <v>9.3120707717378654E-4</v>
      </c>
      <c r="W597" s="1480"/>
      <c r="X597" s="3198">
        <f t="shared" si="658"/>
        <v>3.139899988370741E-3</v>
      </c>
    </row>
    <row r="598" spans="1:24" s="2457" customFormat="1" ht="8.25" customHeight="1" thickBot="1">
      <c r="A598" s="2200"/>
      <c r="B598" s="126"/>
      <c r="C598" s="3068"/>
      <c r="D598" s="2301"/>
      <c r="E598" s="2301"/>
      <c r="F598" s="2301"/>
      <c r="G598" s="2301"/>
      <c r="H598" s="2301"/>
      <c r="I598" s="2301"/>
      <c r="J598" s="2301"/>
      <c r="K598" s="2301"/>
      <c r="L598" s="2301"/>
      <c r="M598" s="2301"/>
      <c r="N598" s="2301"/>
      <c r="O598" s="2301"/>
      <c r="P598" s="2299"/>
      <c r="Q598" s="2301"/>
      <c r="R598" s="127"/>
      <c r="S598" s="2301"/>
      <c r="T598" s="84"/>
      <c r="U598" s="34"/>
      <c r="V598" s="34"/>
      <c r="W598" s="34"/>
      <c r="X598" s="42"/>
    </row>
    <row r="599" spans="1:24" s="2457" customFormat="1">
      <c r="A599" s="3731" t="s">
        <v>24</v>
      </c>
      <c r="B599" s="115"/>
      <c r="C599" s="3073"/>
      <c r="D599" s="116"/>
      <c r="E599" s="3073"/>
      <c r="F599" s="116"/>
      <c r="G599" s="3073"/>
      <c r="H599" s="117"/>
      <c r="I599" s="3073"/>
      <c r="J599" s="117"/>
      <c r="K599" s="3073"/>
      <c r="L599" s="4212"/>
      <c r="M599" s="3073"/>
      <c r="N599" s="117"/>
      <c r="O599" s="3073"/>
      <c r="P599" s="118"/>
      <c r="Q599" s="3073"/>
      <c r="R599" s="119"/>
      <c r="S599" s="1867"/>
      <c r="T599" s="86"/>
      <c r="U599" s="45"/>
      <c r="V599" s="47"/>
      <c r="W599" s="45"/>
      <c r="X599" s="85"/>
    </row>
    <row r="600" spans="1:24" s="2457" customFormat="1">
      <c r="A600" s="3734" t="s">
        <v>19</v>
      </c>
      <c r="B600" s="3064">
        <f>SUM(B601:B603)</f>
        <v>15959.953</v>
      </c>
      <c r="C600" s="3065"/>
      <c r="D600" s="3066">
        <f>SUM(D601:D603)</f>
        <v>15870.621000000001</v>
      </c>
      <c r="E600" s="3065"/>
      <c r="F600" s="3066">
        <f>SUM(F601:F603)</f>
        <v>16247.516</v>
      </c>
      <c r="G600" s="3065"/>
      <c r="H600" s="3066">
        <f>SUM(H601:H603)</f>
        <v>17136.439000000002</v>
      </c>
      <c r="I600" s="3065"/>
      <c r="J600" s="3066">
        <f>SUM(J601:J603)</f>
        <v>17683.419999999998</v>
      </c>
      <c r="K600" s="3065"/>
      <c r="L600" s="3066">
        <f>SUM(L601:L603)</f>
        <v>17848.019</v>
      </c>
      <c r="M600" s="3065"/>
      <c r="N600" s="1870">
        <f>SUM(N601:N603)</f>
        <v>17571</v>
      </c>
      <c r="O600" s="3065"/>
      <c r="P600" s="1870">
        <f>SUM(P601:P603)</f>
        <v>17588</v>
      </c>
      <c r="Q600" s="3065"/>
      <c r="R600" s="2637">
        <f>SUM(R601:R603)</f>
        <v>17642</v>
      </c>
      <c r="S600" s="2299"/>
      <c r="T600" s="3188">
        <f>(((N600/B600)^(1/6)-1))</f>
        <v>1.6156996605600771E-2</v>
      </c>
      <c r="U600" s="25"/>
      <c r="V600" s="3189">
        <f>(P600-N600)/N600</f>
        <v>9.6750327243753909E-4</v>
      </c>
      <c r="W600" s="25"/>
      <c r="X600" s="3190">
        <f>(R600-P600)/P600</f>
        <v>3.0702751876279283E-3</v>
      </c>
    </row>
    <row r="601" spans="1:24" s="2457" customFormat="1">
      <c r="A601" s="3734" t="s">
        <v>20</v>
      </c>
      <c r="B601" s="3114">
        <v>14451.403</v>
      </c>
      <c r="C601" s="3115"/>
      <c r="D601" s="3116">
        <v>14091.673000000001</v>
      </c>
      <c r="E601" s="3115"/>
      <c r="F601" s="3116">
        <v>14283.891</v>
      </c>
      <c r="G601" s="3115"/>
      <c r="H601" s="3116">
        <v>15007.815000000001</v>
      </c>
      <c r="I601" s="3115"/>
      <c r="J601" s="3116">
        <v>15326.722</v>
      </c>
      <c r="K601" s="3103"/>
      <c r="L601" s="3116">
        <v>15456.171</v>
      </c>
      <c r="M601" s="3103"/>
      <c r="N601" s="3743">
        <v>15286</v>
      </c>
      <c r="O601" s="3737"/>
      <c r="P601" s="3743">
        <v>15301</v>
      </c>
      <c r="Q601" s="3737"/>
      <c r="R601" s="3720">
        <v>15346</v>
      </c>
      <c r="S601" s="2301"/>
      <c r="T601" s="3191">
        <f t="shared" ref="T601:T604" si="661">(((N601/B601)^(1/6)-1))</f>
        <v>9.4015652451155951E-3</v>
      </c>
      <c r="U601" s="77"/>
      <c r="V601" s="78">
        <f t="shared" ref="V601:V610" si="662">(P601-N601)/N601</f>
        <v>9.8129006934449814E-4</v>
      </c>
      <c r="W601" s="77"/>
      <c r="X601" s="3192">
        <f t="shared" ref="X601:X610" si="663">(R601-P601)/P601</f>
        <v>2.9409842493954641E-3</v>
      </c>
    </row>
    <row r="602" spans="1:24" s="2457" customFormat="1">
      <c r="A602" s="3734" t="s">
        <v>17</v>
      </c>
      <c r="B602" s="3114">
        <v>1208.5340000000001</v>
      </c>
      <c r="C602" s="3115"/>
      <c r="D602" s="3116">
        <v>1392.4939999999999</v>
      </c>
      <c r="E602" s="3115"/>
      <c r="F602" s="3116">
        <v>1434.8440000000001</v>
      </c>
      <c r="G602" s="3115"/>
      <c r="H602" s="3116">
        <v>1622.51</v>
      </c>
      <c r="I602" s="3115"/>
      <c r="J602" s="3116">
        <v>1826.2190000000001</v>
      </c>
      <c r="K602" s="3103"/>
      <c r="L602" s="3116">
        <v>1869.9190000000001</v>
      </c>
      <c r="M602" s="3103"/>
      <c r="N602" s="3743">
        <v>1868</v>
      </c>
      <c r="O602" s="3737"/>
      <c r="P602" s="3743">
        <v>1869</v>
      </c>
      <c r="Q602" s="3737"/>
      <c r="R602" s="3720">
        <v>1875</v>
      </c>
      <c r="S602" s="2301"/>
      <c r="T602" s="3191">
        <f t="shared" si="661"/>
        <v>7.5275291772452624E-2</v>
      </c>
      <c r="U602" s="77"/>
      <c r="V602" s="78">
        <f t="shared" si="662"/>
        <v>5.3533190578158461E-4</v>
      </c>
      <c r="W602" s="77"/>
      <c r="X602" s="3192">
        <f t="shared" si="663"/>
        <v>3.2102728731942215E-3</v>
      </c>
    </row>
    <row r="603" spans="1:24" s="2457" customFormat="1">
      <c r="A603" s="3734" t="s">
        <v>154</v>
      </c>
      <c r="B603" s="3114">
        <v>300.01600000000002</v>
      </c>
      <c r="C603" s="3115"/>
      <c r="D603" s="3116">
        <v>386.45400000000001</v>
      </c>
      <c r="E603" s="3115"/>
      <c r="F603" s="3116">
        <v>528.78099999999995</v>
      </c>
      <c r="G603" s="3115"/>
      <c r="H603" s="3116">
        <v>506.11399999999998</v>
      </c>
      <c r="I603" s="3115"/>
      <c r="J603" s="3116">
        <v>530.47900000000004</v>
      </c>
      <c r="K603" s="3103"/>
      <c r="L603" s="3116">
        <v>521.92899999999997</v>
      </c>
      <c r="M603" s="3103"/>
      <c r="N603" s="3743">
        <v>417</v>
      </c>
      <c r="O603" s="3737"/>
      <c r="P603" s="3743">
        <v>418</v>
      </c>
      <c r="Q603" s="3737"/>
      <c r="R603" s="3720">
        <v>421</v>
      </c>
      <c r="S603" s="2301"/>
      <c r="T603" s="3191">
        <f t="shared" si="661"/>
        <v>5.6408628461549482E-2</v>
      </c>
      <c r="U603" s="77"/>
      <c r="V603" s="78">
        <f t="shared" si="662"/>
        <v>2.3980815347721821E-3</v>
      </c>
      <c r="W603" s="77"/>
      <c r="X603" s="3192">
        <f t="shared" si="663"/>
        <v>7.1770334928229667E-3</v>
      </c>
    </row>
    <row r="604" spans="1:24" s="2457" customFormat="1">
      <c r="A604" s="3734" t="s">
        <v>21</v>
      </c>
      <c r="B604" s="3064">
        <f>SUM(B605:B607)</f>
        <v>2382.5419999999999</v>
      </c>
      <c r="C604" s="3065"/>
      <c r="D604" s="3066">
        <f>SUM(D605:D607)</f>
        <v>2471.9119999999998</v>
      </c>
      <c r="E604" s="3065"/>
      <c r="F604" s="3066">
        <f>SUM(F605:F607)</f>
        <v>2617.4050000000002</v>
      </c>
      <c r="G604" s="3065"/>
      <c r="H604" s="3066">
        <f>SUM(H605:H607)</f>
        <v>2852.5940000000001</v>
      </c>
      <c r="I604" s="3065"/>
      <c r="J604" s="3066">
        <f>SUM(J605:J607)</f>
        <v>3072.3349999999996</v>
      </c>
      <c r="K604" s="3065"/>
      <c r="L604" s="3066">
        <f>SUM(L605:L607)</f>
        <v>3344.67</v>
      </c>
      <c r="M604" s="3065"/>
      <c r="N604" s="1870">
        <f>SUM(N605:N607)</f>
        <v>3292</v>
      </c>
      <c r="O604" s="3065"/>
      <c r="P604" s="1870">
        <f>SUM(P605:P607)</f>
        <v>3295</v>
      </c>
      <c r="Q604" s="3065"/>
      <c r="R604" s="2637">
        <f>SUM(R605:R607)</f>
        <v>3306</v>
      </c>
      <c r="S604" s="2301"/>
      <c r="T604" s="3197">
        <f t="shared" si="661"/>
        <v>5.5366271000868661E-2</v>
      </c>
      <c r="U604" s="1480"/>
      <c r="V604" s="1479">
        <f t="shared" si="662"/>
        <v>9.1130012150668284E-4</v>
      </c>
      <c r="W604" s="1480"/>
      <c r="X604" s="3198">
        <f t="shared" si="663"/>
        <v>3.338391502276176E-3</v>
      </c>
    </row>
    <row r="605" spans="1:24" s="2457" customFormat="1">
      <c r="A605" s="3734" t="s">
        <v>20</v>
      </c>
      <c r="B605" s="2487">
        <v>1679.5830000000001</v>
      </c>
      <c r="C605" s="3115"/>
      <c r="D605" s="3116">
        <v>1752.2180000000001</v>
      </c>
      <c r="E605" s="3115"/>
      <c r="F605" s="3116">
        <v>1848.836</v>
      </c>
      <c r="G605" s="3115"/>
      <c r="H605" s="3116">
        <v>1998.701</v>
      </c>
      <c r="I605" s="3115"/>
      <c r="J605" s="3116">
        <v>2067.4029999999998</v>
      </c>
      <c r="K605" s="3103"/>
      <c r="L605" s="3116">
        <v>2336.998</v>
      </c>
      <c r="M605" s="3103"/>
      <c r="N605" s="3743">
        <v>2303</v>
      </c>
      <c r="O605" s="3737"/>
      <c r="P605" s="3743">
        <v>2304</v>
      </c>
      <c r="Q605" s="3737"/>
      <c r="R605" s="3720">
        <v>2313</v>
      </c>
      <c r="S605" s="2301"/>
      <c r="T605" s="3191">
        <f>(((N605/B605)^(1/6)-1))</f>
        <v>5.4019740165147434E-2</v>
      </c>
      <c r="U605" s="77"/>
      <c r="V605" s="78">
        <f t="shared" si="662"/>
        <v>4.3421623968736432E-4</v>
      </c>
      <c r="W605" s="77"/>
      <c r="X605" s="3192">
        <f t="shared" si="663"/>
        <v>3.90625E-3</v>
      </c>
    </row>
    <row r="606" spans="1:24" s="2457" customFormat="1">
      <c r="A606" s="3734" t="s">
        <v>17</v>
      </c>
      <c r="B606" s="2487">
        <v>684.375</v>
      </c>
      <c r="C606" s="3115"/>
      <c r="D606" s="3116">
        <v>699.86</v>
      </c>
      <c r="E606" s="3115"/>
      <c r="F606" s="3116">
        <v>743.77700000000004</v>
      </c>
      <c r="G606" s="3115"/>
      <c r="H606" s="3116">
        <v>823.76800000000003</v>
      </c>
      <c r="I606" s="3115"/>
      <c r="J606" s="3116">
        <v>972.26499999999999</v>
      </c>
      <c r="K606" s="3103"/>
      <c r="L606" s="3116">
        <v>974.34100000000001</v>
      </c>
      <c r="M606" s="3103"/>
      <c r="N606" s="3743">
        <v>955</v>
      </c>
      <c r="O606" s="3737"/>
      <c r="P606" s="3743">
        <v>956</v>
      </c>
      <c r="Q606" s="3737"/>
      <c r="R606" s="3720">
        <v>958</v>
      </c>
      <c r="S606" s="2301"/>
      <c r="T606" s="3191">
        <f t="shared" ref="T606:T610" si="664">(((N606/B606)^(1/6)-1))</f>
        <v>5.7105191910241659E-2</v>
      </c>
      <c r="U606" s="77"/>
      <c r="V606" s="78">
        <f t="shared" si="662"/>
        <v>1.0471204188481676E-3</v>
      </c>
      <c r="W606" s="77"/>
      <c r="X606" s="3192">
        <f t="shared" si="663"/>
        <v>2.0920502092050207E-3</v>
      </c>
    </row>
    <row r="607" spans="1:24" s="2457" customFormat="1">
      <c r="A607" s="3734" t="s">
        <v>154</v>
      </c>
      <c r="B607" s="2487">
        <v>18.584</v>
      </c>
      <c r="C607" s="3115"/>
      <c r="D607" s="3116">
        <v>19.834</v>
      </c>
      <c r="E607" s="3115"/>
      <c r="F607" s="3116">
        <v>24.792000000000002</v>
      </c>
      <c r="G607" s="3115"/>
      <c r="H607" s="3116">
        <v>30.125</v>
      </c>
      <c r="I607" s="3115"/>
      <c r="J607" s="3116">
        <v>32.667000000000002</v>
      </c>
      <c r="K607" s="3103"/>
      <c r="L607" s="3116">
        <v>33.331000000000003</v>
      </c>
      <c r="M607" s="3103"/>
      <c r="N607" s="3743">
        <v>34</v>
      </c>
      <c r="O607" s="3737"/>
      <c r="P607" s="3743">
        <v>35</v>
      </c>
      <c r="Q607" s="3737"/>
      <c r="R607" s="3720">
        <v>35</v>
      </c>
      <c r="S607" s="2301"/>
      <c r="T607" s="3191">
        <f t="shared" si="664"/>
        <v>0.10591891668321063</v>
      </c>
      <c r="U607" s="77"/>
      <c r="V607" s="78">
        <f t="shared" si="662"/>
        <v>2.9411764705882353E-2</v>
      </c>
      <c r="W607" s="77"/>
      <c r="X607" s="3192">
        <f t="shared" si="663"/>
        <v>0</v>
      </c>
    </row>
    <row r="608" spans="1:24" s="2457" customFormat="1">
      <c r="A608" s="3738" t="s">
        <v>22</v>
      </c>
      <c r="B608" s="3064">
        <f>SUM(B609:B611)</f>
        <v>0</v>
      </c>
      <c r="C608" s="3065"/>
      <c r="D608" s="3066">
        <f>SUM(D609:D611)</f>
        <v>0</v>
      </c>
      <c r="E608" s="3065"/>
      <c r="F608" s="3066">
        <f>SUM(F609:F611)</f>
        <v>0</v>
      </c>
      <c r="G608" s="3065"/>
      <c r="H608" s="3066">
        <f>SUM(H609:H611)</f>
        <v>3.4</v>
      </c>
      <c r="I608" s="3065"/>
      <c r="J608" s="3066">
        <f>SUM(J609:J611)</f>
        <v>6.4670000000000005</v>
      </c>
      <c r="K608" s="3065"/>
      <c r="L608" s="3066">
        <f>SUM(L609:L611)</f>
        <v>10.664999999999999</v>
      </c>
      <c r="M608" s="3065"/>
      <c r="N608" s="1870">
        <f>SUM(N609:N611)</f>
        <v>13</v>
      </c>
      <c r="O608" s="3065"/>
      <c r="P608" s="1870">
        <f>SUM(P609:P611)</f>
        <v>13</v>
      </c>
      <c r="Q608" s="3065"/>
      <c r="R608" s="2637">
        <f>SUM(R609:R611)</f>
        <v>13</v>
      </c>
      <c r="S608" s="2301"/>
      <c r="T608" s="3197" t="e">
        <f>(((N608/B608)^(1/6)-1))</f>
        <v>#DIV/0!</v>
      </c>
      <c r="U608" s="1480"/>
      <c r="V608" s="1479">
        <f t="shared" si="662"/>
        <v>0</v>
      </c>
      <c r="W608" s="1480"/>
      <c r="X608" s="3198">
        <f t="shared" si="663"/>
        <v>0</v>
      </c>
    </row>
    <row r="609" spans="1:25" s="2457" customFormat="1">
      <c r="A609" s="3734" t="s">
        <v>20</v>
      </c>
      <c r="B609" s="2663">
        <v>0</v>
      </c>
      <c r="C609" s="3115"/>
      <c r="D609" s="2664">
        <v>0</v>
      </c>
      <c r="E609" s="3115"/>
      <c r="F609" s="2664">
        <v>0</v>
      </c>
      <c r="G609" s="3115"/>
      <c r="H609" s="2664">
        <v>2.4</v>
      </c>
      <c r="I609" s="3115"/>
      <c r="J609" s="2664">
        <v>4.4340000000000002</v>
      </c>
      <c r="K609" s="3103"/>
      <c r="L609" s="2664">
        <v>7.0990000000000002</v>
      </c>
      <c r="M609" s="3103"/>
      <c r="N609" s="3744">
        <v>9</v>
      </c>
      <c r="O609" s="3737"/>
      <c r="P609" s="3744">
        <v>9</v>
      </c>
      <c r="Q609" s="3737"/>
      <c r="R609" s="3721">
        <v>9</v>
      </c>
      <c r="S609" s="2301"/>
      <c r="T609" s="3191" t="e">
        <f>(((N609/B609)^(1/6)-1))</f>
        <v>#DIV/0!</v>
      </c>
      <c r="U609" s="77"/>
      <c r="V609" s="78">
        <f t="shared" si="662"/>
        <v>0</v>
      </c>
      <c r="W609" s="77"/>
      <c r="X609" s="3192">
        <f t="shared" si="663"/>
        <v>0</v>
      </c>
    </row>
    <row r="610" spans="1:25" s="2457" customFormat="1">
      <c r="A610" s="3734" t="s">
        <v>17</v>
      </c>
      <c r="B610" s="2663">
        <v>0</v>
      </c>
      <c r="C610" s="3115"/>
      <c r="D610" s="2664">
        <v>0</v>
      </c>
      <c r="E610" s="3115"/>
      <c r="F610" s="2664">
        <v>0</v>
      </c>
      <c r="G610" s="3115"/>
      <c r="H610" s="2664">
        <v>1</v>
      </c>
      <c r="I610" s="3115"/>
      <c r="J610" s="2664">
        <v>2.0329999999999999</v>
      </c>
      <c r="K610" s="3103"/>
      <c r="L610" s="2664">
        <v>3.5659999999999998</v>
      </c>
      <c r="M610" s="3103"/>
      <c r="N610" s="3744">
        <v>4</v>
      </c>
      <c r="O610" s="3737"/>
      <c r="P610" s="3744">
        <v>4</v>
      </c>
      <c r="Q610" s="3737"/>
      <c r="R610" s="3721">
        <v>4</v>
      </c>
      <c r="S610" s="2301"/>
      <c r="T610" s="3191" t="e">
        <f t="shared" si="664"/>
        <v>#DIV/0!</v>
      </c>
      <c r="U610" s="77"/>
      <c r="V610" s="78">
        <f t="shared" si="662"/>
        <v>0</v>
      </c>
      <c r="W610" s="77"/>
      <c r="X610" s="3192">
        <f t="shared" si="663"/>
        <v>0</v>
      </c>
    </row>
    <row r="611" spans="1:25" s="2457" customFormat="1" ht="13.8" thickBot="1">
      <c r="A611" s="2479" t="s">
        <v>154</v>
      </c>
      <c r="B611" s="2665">
        <v>0</v>
      </c>
      <c r="C611" s="2666"/>
      <c r="D611" s="2667">
        <v>0</v>
      </c>
      <c r="E611" s="2666"/>
      <c r="F611" s="2667">
        <v>0</v>
      </c>
      <c r="G611" s="2666"/>
      <c r="H611" s="2667">
        <v>0</v>
      </c>
      <c r="I611" s="2666"/>
      <c r="J611" s="2667">
        <v>0</v>
      </c>
      <c r="K611" s="3108"/>
      <c r="L611" s="2667">
        <v>0</v>
      </c>
      <c r="M611" s="3108"/>
      <c r="N611" s="3745">
        <v>0</v>
      </c>
      <c r="O611" s="3741"/>
      <c r="P611" s="3745">
        <v>0</v>
      </c>
      <c r="Q611" s="3741"/>
      <c r="R611" s="3730">
        <v>0</v>
      </c>
      <c r="S611" s="1866"/>
      <c r="T611" s="3193">
        <v>0</v>
      </c>
      <c r="U611" s="3194"/>
      <c r="V611" s="3195">
        <v>0</v>
      </c>
      <c r="W611" s="3194"/>
      <c r="X611" s="3196">
        <v>0</v>
      </c>
    </row>
    <row r="612" spans="1:25" s="2457" customFormat="1" ht="13.8" thickTop="1">
      <c r="A612" s="3746" t="s">
        <v>25</v>
      </c>
      <c r="B612" s="123">
        <f>B600+B604+B608</f>
        <v>18342.494999999999</v>
      </c>
      <c r="C612" s="124"/>
      <c r="D612" s="1869">
        <f>D600+D604+D608</f>
        <v>18342.532999999999</v>
      </c>
      <c r="E612" s="124"/>
      <c r="F612" s="1869">
        <f>F600+F604+F608</f>
        <v>18864.920999999998</v>
      </c>
      <c r="G612" s="124"/>
      <c r="H612" s="1869">
        <f>H600+H604+H608</f>
        <v>19992.433000000005</v>
      </c>
      <c r="I612" s="124"/>
      <c r="J612" s="1869">
        <f>J600+J604+J608</f>
        <v>20762.221999999998</v>
      </c>
      <c r="K612" s="124"/>
      <c r="L612" s="1869">
        <f>L600+L604+L608</f>
        <v>21203.353999999999</v>
      </c>
      <c r="M612" s="124"/>
      <c r="N612" s="1869">
        <f>N600+N604+N608</f>
        <v>20876</v>
      </c>
      <c r="O612" s="124"/>
      <c r="P612" s="3066">
        <f>P600+P604+P608</f>
        <v>20896</v>
      </c>
      <c r="Q612" s="124"/>
      <c r="R612" s="122">
        <f>R600+R604+R608</f>
        <v>20961</v>
      </c>
      <c r="S612" s="124"/>
      <c r="T612" s="3197">
        <f t="shared" ref="T612" si="665">(((N612/B612)^(1/6)-1))</f>
        <v>2.1797446742770621E-2</v>
      </c>
      <c r="U612" s="1480"/>
      <c r="V612" s="1479">
        <f t="shared" ref="V612" si="666">(P612-N612)/N612</f>
        <v>9.5803793830235673E-4</v>
      </c>
      <c r="W612" s="1480"/>
      <c r="X612" s="3198">
        <f t="shared" ref="X612" si="667">(R612-P612)/P612</f>
        <v>3.1106431852986217E-3</v>
      </c>
    </row>
    <row r="613" spans="1:25" s="2457" customFormat="1" ht="8.25" customHeight="1" thickBot="1">
      <c r="A613" s="3742"/>
      <c r="B613" s="126"/>
      <c r="C613" s="3068"/>
      <c r="D613" s="3068"/>
      <c r="E613" s="3068"/>
      <c r="F613" s="3068"/>
      <c r="G613" s="3068"/>
      <c r="H613" s="3068"/>
      <c r="I613" s="3068"/>
      <c r="J613" s="3068"/>
      <c r="K613" s="3068"/>
      <c r="L613" s="3068"/>
      <c r="M613" s="3068"/>
      <c r="N613" s="3068"/>
      <c r="O613" s="3068"/>
      <c r="P613" s="3065"/>
      <c r="Q613" s="3068"/>
      <c r="R613" s="127"/>
      <c r="S613" s="2301"/>
      <c r="T613" s="84"/>
      <c r="U613" s="34"/>
      <c r="V613" s="34"/>
      <c r="W613" s="34"/>
      <c r="X613" s="42"/>
    </row>
    <row r="614" spans="1:25" s="2457" customFormat="1">
      <c r="A614" s="3731" t="s">
        <v>78</v>
      </c>
      <c r="B614" s="3111"/>
      <c r="C614" s="3097"/>
      <c r="D614" s="3112"/>
      <c r="E614" s="3097"/>
      <c r="F614" s="3112"/>
      <c r="G614" s="3097"/>
      <c r="H614" s="3098"/>
      <c r="I614" s="3097"/>
      <c r="J614" s="3098"/>
      <c r="K614" s="3097"/>
      <c r="L614" s="3098"/>
      <c r="M614" s="3097"/>
      <c r="N614" s="3098"/>
      <c r="O614" s="3097"/>
      <c r="P614" s="3732"/>
      <c r="Q614" s="3097"/>
      <c r="R614" s="3733"/>
      <c r="S614" s="1867"/>
      <c r="T614" s="86"/>
      <c r="U614" s="45"/>
      <c r="V614" s="47"/>
      <c r="W614" s="45"/>
      <c r="X614" s="85"/>
    </row>
    <row r="615" spans="1:25" s="2457" customFormat="1">
      <c r="A615" s="3738" t="s">
        <v>79</v>
      </c>
      <c r="B615" s="3118">
        <v>265</v>
      </c>
      <c r="C615" s="3119"/>
      <c r="D615" s="3120">
        <v>281</v>
      </c>
      <c r="E615" s="3119"/>
      <c r="F615" s="3120">
        <v>289</v>
      </c>
      <c r="G615" s="3119"/>
      <c r="H615" s="3121">
        <v>358</v>
      </c>
      <c r="I615" s="3119"/>
      <c r="J615" s="3121">
        <v>416</v>
      </c>
      <c r="K615" s="3135"/>
      <c r="L615" s="3717">
        <v>597</v>
      </c>
      <c r="M615" s="3135"/>
      <c r="N615" s="3747">
        <v>460</v>
      </c>
      <c r="O615" s="3735"/>
      <c r="P615" s="3747">
        <v>475</v>
      </c>
      <c r="Q615" s="3735"/>
      <c r="R615" s="3722">
        <v>490</v>
      </c>
      <c r="S615" s="2299"/>
      <c r="T615" s="3191">
        <f t="shared" ref="T615:T616" si="668">(((N615/B615)^(1/6)-1))</f>
        <v>9.6272852532565567E-2</v>
      </c>
      <c r="U615" s="77"/>
      <c r="V615" s="78">
        <f t="shared" ref="V615:V616" si="669">(P615-N615)/N615</f>
        <v>3.2608695652173912E-2</v>
      </c>
      <c r="W615" s="77"/>
      <c r="X615" s="3192">
        <f t="shared" ref="X615:X616" si="670">(R615-P615)/P615</f>
        <v>3.1578947368421054E-2</v>
      </c>
    </row>
    <row r="616" spans="1:25" s="2457" customFormat="1" ht="13.8" thickBot="1">
      <c r="A616" s="3748" t="s">
        <v>80</v>
      </c>
      <c r="B616" s="3123">
        <v>54.3</v>
      </c>
      <c r="C616" s="3125"/>
      <c r="D616" s="3124">
        <v>68.400000000000006</v>
      </c>
      <c r="E616" s="3125"/>
      <c r="F616" s="3124">
        <v>63.4</v>
      </c>
      <c r="G616" s="3125"/>
      <c r="H616" s="3126">
        <v>82.7</v>
      </c>
      <c r="I616" s="3125"/>
      <c r="J616" s="3126">
        <v>95.7</v>
      </c>
      <c r="K616" s="3127"/>
      <c r="L616" s="3718">
        <v>156.6</v>
      </c>
      <c r="M616" s="3127"/>
      <c r="N616" s="3749">
        <v>106</v>
      </c>
      <c r="O616" s="3750"/>
      <c r="P616" s="3749">
        <v>109</v>
      </c>
      <c r="Q616" s="3750"/>
      <c r="R616" s="3723">
        <v>113</v>
      </c>
      <c r="S616" s="97"/>
      <c r="T616" s="3191">
        <f t="shared" si="668"/>
        <v>0.11793788169079766</v>
      </c>
      <c r="U616" s="77"/>
      <c r="V616" s="78">
        <f t="shared" si="669"/>
        <v>2.8301886792452831E-2</v>
      </c>
      <c r="W616" s="77"/>
      <c r="X616" s="3192">
        <f t="shared" si="670"/>
        <v>3.669724770642202E-2</v>
      </c>
      <c r="Y616" s="3259"/>
    </row>
    <row r="617" spans="1:25" s="2582" customFormat="1" ht="13.8" thickBot="1">
      <c r="A617" s="111"/>
      <c r="B617" s="112"/>
      <c r="C617" s="112"/>
      <c r="D617" s="112"/>
      <c r="E617" s="112"/>
      <c r="F617" s="113"/>
      <c r="G617" s="112"/>
      <c r="H617" s="112"/>
      <c r="I617" s="112"/>
      <c r="J617" s="112"/>
      <c r="K617" s="112"/>
      <c r="L617" s="112"/>
      <c r="M617" s="112"/>
      <c r="N617" s="112"/>
      <c r="O617" s="112"/>
      <c r="P617" s="112"/>
      <c r="Q617" s="112"/>
      <c r="R617" s="112"/>
      <c r="S617" s="112"/>
      <c r="T617" s="112"/>
      <c r="U617" s="112"/>
      <c r="V617" s="112"/>
      <c r="W617" s="112"/>
      <c r="X617" s="112"/>
    </row>
    <row r="618" spans="1:25" s="2583" customFormat="1">
      <c r="A618" s="114" t="s">
        <v>225</v>
      </c>
      <c r="B618" s="2592" t="s">
        <v>13</v>
      </c>
      <c r="C618" s="3051"/>
      <c r="D618" s="2594" t="s">
        <v>13</v>
      </c>
      <c r="E618" s="2609"/>
      <c r="F618" s="2607" t="s">
        <v>13</v>
      </c>
      <c r="G618" s="2609"/>
      <c r="H618" s="2607" t="s">
        <v>13</v>
      </c>
      <c r="I618" s="2609"/>
      <c r="J618" s="2607" t="s">
        <v>13</v>
      </c>
      <c r="K618" s="2609"/>
      <c r="L618" s="2595" t="s">
        <v>14</v>
      </c>
      <c r="M618" s="2609"/>
      <c r="N618" s="2595" t="s">
        <v>15</v>
      </c>
      <c r="O618" s="2609"/>
      <c r="P618" s="2597" t="s">
        <v>16</v>
      </c>
      <c r="Q618" s="2609"/>
      <c r="R618" s="2599" t="s">
        <v>16</v>
      </c>
      <c r="S618" s="2609"/>
      <c r="T618" s="2625" t="s">
        <v>62</v>
      </c>
      <c r="U618" s="2593"/>
      <c r="V618" s="2629" t="s">
        <v>75</v>
      </c>
      <c r="W618" s="2593"/>
      <c r="X618" s="2627" t="s">
        <v>75</v>
      </c>
    </row>
    <row r="619" spans="1:25" s="2583" customFormat="1" ht="13.8" thickBot="1">
      <c r="A619" s="2610"/>
      <c r="B619" s="2591" t="s">
        <v>3</v>
      </c>
      <c r="C619" s="3053"/>
      <c r="D619" s="2584" t="s">
        <v>4</v>
      </c>
      <c r="E619" s="2611"/>
      <c r="F619" s="2585" t="s">
        <v>5</v>
      </c>
      <c r="G619" s="2611"/>
      <c r="H619" s="2586" t="s">
        <v>6</v>
      </c>
      <c r="I619" s="2611"/>
      <c r="J619" s="2586" t="s">
        <v>7</v>
      </c>
      <c r="K619" s="2611"/>
      <c r="L619" s="2586" t="s">
        <v>8</v>
      </c>
      <c r="M619" s="2611"/>
      <c r="N619" s="2586" t="s">
        <v>9</v>
      </c>
      <c r="O619" s="2611"/>
      <c r="P619" s="2598" t="s">
        <v>10</v>
      </c>
      <c r="Q619" s="2611"/>
      <c r="R619" s="2600" t="s">
        <v>11</v>
      </c>
      <c r="S619" s="2611"/>
      <c r="T619" s="2626" t="s">
        <v>63</v>
      </c>
      <c r="U619" s="2587"/>
      <c r="V619" s="2624" t="s">
        <v>76</v>
      </c>
      <c r="W619" s="2587"/>
      <c r="X619" s="2628" t="s">
        <v>77</v>
      </c>
    </row>
    <row r="620" spans="1:25" s="2582" customFormat="1">
      <c r="A620" s="2608" t="s">
        <v>81</v>
      </c>
      <c r="B620" s="115"/>
      <c r="C620" s="3073"/>
      <c r="D620" s="116"/>
      <c r="E620" s="2623"/>
      <c r="F620" s="116"/>
      <c r="G620" s="2623"/>
      <c r="H620" s="117"/>
      <c r="I620" s="2623"/>
      <c r="J620" s="117"/>
      <c r="K620" s="2623"/>
      <c r="L620" s="117"/>
      <c r="M620" s="2623"/>
      <c r="N620" s="117"/>
      <c r="O620" s="2623"/>
      <c r="P620" s="118"/>
      <c r="Q620" s="2623"/>
      <c r="R620" s="119"/>
      <c r="S620" s="2623"/>
      <c r="T620" s="120"/>
      <c r="U620" s="2623"/>
      <c r="V620" s="117"/>
      <c r="W620" s="2623"/>
      <c r="X620" s="121"/>
    </row>
    <row r="621" spans="1:25" s="2582" customFormat="1">
      <c r="A621" s="2589" t="s">
        <v>19</v>
      </c>
      <c r="B621" s="2616">
        <f>SUM(B622:B624)</f>
        <v>10989</v>
      </c>
      <c r="C621" s="3065"/>
      <c r="D621" s="2618">
        <f>SUM(D622:D624)</f>
        <v>11026</v>
      </c>
      <c r="E621" s="2617"/>
      <c r="F621" s="2618">
        <f>SUM(F622:F624)</f>
        <v>11445</v>
      </c>
      <c r="G621" s="2617"/>
      <c r="H621" s="2618">
        <f>SUM(H622:H624)</f>
        <v>12140</v>
      </c>
      <c r="I621" s="2617"/>
      <c r="J621" s="2618">
        <f>SUM(J622:J624)</f>
        <v>12414</v>
      </c>
      <c r="K621" s="2617"/>
      <c r="L621" s="2618">
        <f>SUM(L622:L624)</f>
        <v>12828</v>
      </c>
      <c r="M621" s="2617"/>
      <c r="N621" s="2618">
        <f>SUM(N622:N624)</f>
        <v>12956</v>
      </c>
      <c r="O621" s="2617"/>
      <c r="P621" s="2618">
        <f>SUM(P622:P624)</f>
        <v>13086</v>
      </c>
      <c r="Q621" s="2617"/>
      <c r="R621" s="122">
        <f>SUM(R622:R624)</f>
        <v>13086</v>
      </c>
      <c r="S621" s="2617"/>
      <c r="T621" s="3188">
        <f>(((N621/B621)^(1/6)-1))</f>
        <v>2.7824094550441103E-2</v>
      </c>
      <c r="U621" s="25"/>
      <c r="V621" s="3189">
        <f>(P621-N621)/N621</f>
        <v>1.0033961099104661E-2</v>
      </c>
      <c r="W621" s="25"/>
      <c r="X621" s="3190">
        <f>(R621-P621)/P621</f>
        <v>0</v>
      </c>
    </row>
    <row r="622" spans="1:25" s="2582" customFormat="1">
      <c r="A622" s="2589" t="s">
        <v>20</v>
      </c>
      <c r="B622" s="2633">
        <v>9889</v>
      </c>
      <c r="C622" s="3101"/>
      <c r="D622" s="2635">
        <v>9949</v>
      </c>
      <c r="E622" s="2634"/>
      <c r="F622" s="2635">
        <v>10289</v>
      </c>
      <c r="G622" s="2634"/>
      <c r="H622" s="2635">
        <v>10857</v>
      </c>
      <c r="I622" s="2634"/>
      <c r="J622" s="2635">
        <v>11092</v>
      </c>
      <c r="K622" s="2632"/>
      <c r="L622" s="2635">
        <v>11419</v>
      </c>
      <c r="M622" s="2634"/>
      <c r="N622" s="2635">
        <v>11533</v>
      </c>
      <c r="O622" s="2634"/>
      <c r="P622" s="2635">
        <v>11648</v>
      </c>
      <c r="Q622" s="2634"/>
      <c r="R622" s="2636">
        <v>11648</v>
      </c>
      <c r="S622" s="2620"/>
      <c r="T622" s="3191">
        <f t="shared" ref="T622:T625" si="671">(((N622/B622)^(1/6)-1))</f>
        <v>2.5962890672544869E-2</v>
      </c>
      <c r="U622" s="77"/>
      <c r="V622" s="78">
        <f t="shared" ref="V622:V633" si="672">(P622-N622)/N622</f>
        <v>9.9713864562559606E-3</v>
      </c>
      <c r="W622" s="77"/>
      <c r="X622" s="3192">
        <f t="shared" ref="X622:X633" si="673">(R622-P622)/P622</f>
        <v>0</v>
      </c>
    </row>
    <row r="623" spans="1:25" s="2582" customFormat="1">
      <c r="A623" s="2589" t="s">
        <v>17</v>
      </c>
      <c r="B623" s="2633">
        <v>668</v>
      </c>
      <c r="C623" s="3101"/>
      <c r="D623" s="2635">
        <v>651</v>
      </c>
      <c r="E623" s="2634"/>
      <c r="F623" s="2635">
        <v>724</v>
      </c>
      <c r="G623" s="2634"/>
      <c r="H623" s="2635">
        <v>795</v>
      </c>
      <c r="I623" s="2634"/>
      <c r="J623" s="2635">
        <v>856</v>
      </c>
      <c r="K623" s="2632"/>
      <c r="L623" s="2635">
        <v>947</v>
      </c>
      <c r="M623" s="2634"/>
      <c r="N623" s="2514">
        <v>956</v>
      </c>
      <c r="O623" s="2634"/>
      <c r="P623" s="2635">
        <v>966</v>
      </c>
      <c r="Q623" s="2634"/>
      <c r="R623" s="2489">
        <v>966</v>
      </c>
      <c r="S623" s="2620"/>
      <c r="T623" s="3191">
        <f t="shared" si="671"/>
        <v>6.1565766658979726E-2</v>
      </c>
      <c r="U623" s="77"/>
      <c r="V623" s="78">
        <f t="shared" si="672"/>
        <v>1.0460251046025104E-2</v>
      </c>
      <c r="W623" s="77"/>
      <c r="X623" s="3192">
        <f t="shared" si="673"/>
        <v>0</v>
      </c>
    </row>
    <row r="624" spans="1:25" s="2582" customFormat="1">
      <c r="A624" s="2589" t="s">
        <v>154</v>
      </c>
      <c r="B624" s="2633">
        <v>432</v>
      </c>
      <c r="C624" s="3101"/>
      <c r="D624" s="2635">
        <v>426</v>
      </c>
      <c r="E624" s="2634"/>
      <c r="F624" s="2635">
        <v>432</v>
      </c>
      <c r="G624" s="2634"/>
      <c r="H624" s="2635">
        <v>488</v>
      </c>
      <c r="I624" s="2634"/>
      <c r="J624" s="2635">
        <v>466</v>
      </c>
      <c r="K624" s="2632"/>
      <c r="L624" s="2635">
        <v>462</v>
      </c>
      <c r="M624" s="2634"/>
      <c r="N624" s="2514">
        <v>467</v>
      </c>
      <c r="O624" s="2634"/>
      <c r="P624" s="2514">
        <v>472</v>
      </c>
      <c r="Q624" s="2634"/>
      <c r="R624" s="2489">
        <v>472</v>
      </c>
      <c r="S624" s="2620"/>
      <c r="T624" s="3191">
        <f t="shared" si="671"/>
        <v>1.3068602315709166E-2</v>
      </c>
      <c r="U624" s="77"/>
      <c r="V624" s="78">
        <f t="shared" si="672"/>
        <v>1.0706638115631691E-2</v>
      </c>
      <c r="W624" s="77"/>
      <c r="X624" s="3192">
        <f t="shared" si="673"/>
        <v>0</v>
      </c>
    </row>
    <row r="625" spans="1:24" s="2582" customFormat="1">
      <c r="A625" s="2589" t="s">
        <v>21</v>
      </c>
      <c r="B625" s="2616">
        <f>SUM(B626:B628)</f>
        <v>1090</v>
      </c>
      <c r="C625" s="3065"/>
      <c r="D625" s="2618">
        <f>SUM(D626:D628)</f>
        <v>1091</v>
      </c>
      <c r="E625" s="2617"/>
      <c r="F625" s="2618">
        <f>SUM(F626:F628)</f>
        <v>1090</v>
      </c>
      <c r="G625" s="2617"/>
      <c r="H625" s="2618">
        <f>SUM(H626:H628)</f>
        <v>1107</v>
      </c>
      <c r="I625" s="2617"/>
      <c r="J625" s="2618">
        <f>SUM(J626:J628)</f>
        <v>1078</v>
      </c>
      <c r="K625" s="2617"/>
      <c r="L625" s="2618">
        <f>SUM(L626:L628)</f>
        <v>1139</v>
      </c>
      <c r="M625" s="2617"/>
      <c r="N625" s="1870">
        <f>SUM(N626:N628)</f>
        <v>1151</v>
      </c>
      <c r="O625" s="2617"/>
      <c r="P625" s="1870">
        <f>SUM(P626:P628)</f>
        <v>1163</v>
      </c>
      <c r="Q625" s="2617"/>
      <c r="R625" s="2637">
        <f>SUM(R626:R628)</f>
        <v>1163</v>
      </c>
      <c r="S625" s="2620"/>
      <c r="T625" s="3197">
        <f t="shared" si="671"/>
        <v>9.1168801252481391E-3</v>
      </c>
      <c r="U625" s="1480"/>
      <c r="V625" s="1479">
        <f t="shared" si="672"/>
        <v>1.0425716768027803E-2</v>
      </c>
      <c r="W625" s="1480"/>
      <c r="X625" s="3198">
        <f t="shared" si="673"/>
        <v>0</v>
      </c>
    </row>
    <row r="626" spans="1:24" s="2582" customFormat="1">
      <c r="A626" s="2589" t="s">
        <v>20</v>
      </c>
      <c r="B626" s="2639">
        <v>816</v>
      </c>
      <c r="C626" s="3101"/>
      <c r="D626" s="2641">
        <v>815</v>
      </c>
      <c r="E626" s="2640"/>
      <c r="F626" s="2641">
        <v>818</v>
      </c>
      <c r="G626" s="2640"/>
      <c r="H626" s="2641">
        <v>806</v>
      </c>
      <c r="I626" s="2640"/>
      <c r="J626" s="2641">
        <v>752</v>
      </c>
      <c r="K626" s="2638"/>
      <c r="L626" s="2641">
        <v>787</v>
      </c>
      <c r="M626" s="2640"/>
      <c r="N626" s="2514">
        <v>795</v>
      </c>
      <c r="O626" s="2640"/>
      <c r="P626" s="2514">
        <v>803</v>
      </c>
      <c r="Q626" s="2640"/>
      <c r="R626" s="2489">
        <v>803</v>
      </c>
      <c r="S626" s="2620"/>
      <c r="T626" s="3191">
        <f>(((N626/B626)^(1/6)-1))</f>
        <v>-4.3359459102776388E-3</v>
      </c>
      <c r="U626" s="77"/>
      <c r="V626" s="78">
        <f t="shared" si="672"/>
        <v>1.0062893081761006E-2</v>
      </c>
      <c r="W626" s="77"/>
      <c r="X626" s="3192">
        <f t="shared" si="673"/>
        <v>0</v>
      </c>
    </row>
    <row r="627" spans="1:24" s="2582" customFormat="1">
      <c r="A627" s="2589" t="s">
        <v>17</v>
      </c>
      <c r="B627" s="2639">
        <v>201</v>
      </c>
      <c r="C627" s="3101"/>
      <c r="D627" s="2641">
        <v>198</v>
      </c>
      <c r="E627" s="2640"/>
      <c r="F627" s="2641">
        <v>176</v>
      </c>
      <c r="G627" s="2640"/>
      <c r="H627" s="2641">
        <v>215</v>
      </c>
      <c r="I627" s="2640"/>
      <c r="J627" s="2641">
        <v>235</v>
      </c>
      <c r="K627" s="2638"/>
      <c r="L627" s="2641">
        <v>265</v>
      </c>
      <c r="M627" s="2640"/>
      <c r="N627" s="2514">
        <v>268</v>
      </c>
      <c r="O627" s="2640"/>
      <c r="P627" s="2514">
        <v>271</v>
      </c>
      <c r="Q627" s="2640"/>
      <c r="R627" s="2489">
        <v>271</v>
      </c>
      <c r="S627" s="2620"/>
      <c r="T627" s="3191">
        <f t="shared" ref="T627:T628" si="674">(((N627/B627)^(1/6)-1))</f>
        <v>4.9115063421648175E-2</v>
      </c>
      <c r="U627" s="77"/>
      <c r="V627" s="78">
        <f t="shared" si="672"/>
        <v>1.1194029850746268E-2</v>
      </c>
      <c r="W627" s="77"/>
      <c r="X627" s="3192">
        <f t="shared" si="673"/>
        <v>0</v>
      </c>
    </row>
    <row r="628" spans="1:24" s="2582" customFormat="1">
      <c r="A628" s="2589" t="s">
        <v>154</v>
      </c>
      <c r="B628" s="2639">
        <v>73</v>
      </c>
      <c r="C628" s="3101"/>
      <c r="D628" s="2641">
        <v>78</v>
      </c>
      <c r="E628" s="2640"/>
      <c r="F628" s="2641">
        <v>96</v>
      </c>
      <c r="G628" s="2640"/>
      <c r="H628" s="2641">
        <v>86</v>
      </c>
      <c r="I628" s="2640"/>
      <c r="J628" s="2641">
        <v>91</v>
      </c>
      <c r="K628" s="2638"/>
      <c r="L628" s="2641">
        <v>87</v>
      </c>
      <c r="M628" s="2640"/>
      <c r="N628" s="2514">
        <v>88</v>
      </c>
      <c r="O628" s="2640"/>
      <c r="P628" s="2514">
        <v>89</v>
      </c>
      <c r="Q628" s="2640"/>
      <c r="R628" s="2489">
        <v>89</v>
      </c>
      <c r="S628" s="2620"/>
      <c r="T628" s="3191">
        <f t="shared" si="674"/>
        <v>3.1636347893663208E-2</v>
      </c>
      <c r="U628" s="77"/>
      <c r="V628" s="78">
        <f t="shared" si="672"/>
        <v>1.1363636363636364E-2</v>
      </c>
      <c r="W628" s="77"/>
      <c r="X628" s="3192">
        <f t="shared" si="673"/>
        <v>0</v>
      </c>
    </row>
    <row r="629" spans="1:24" s="2582" customFormat="1">
      <c r="A629" s="2590" t="s">
        <v>22</v>
      </c>
      <c r="B629" s="2616">
        <f>SUM(B630:B632)</f>
        <v>0</v>
      </c>
      <c r="C629" s="3065"/>
      <c r="D629" s="2618">
        <f>SUM(D630:D632)</f>
        <v>0</v>
      </c>
      <c r="E629" s="2617"/>
      <c r="F629" s="2618">
        <f>SUM(F630:F632)</f>
        <v>19</v>
      </c>
      <c r="G629" s="2617"/>
      <c r="H629" s="2618">
        <f>SUM(H630:H632)</f>
        <v>33</v>
      </c>
      <c r="I629" s="2617"/>
      <c r="J629" s="2618">
        <f>SUM(J630:J632)</f>
        <v>50</v>
      </c>
      <c r="K629" s="2617"/>
      <c r="L629" s="2618">
        <f>SUM(L630:L632)</f>
        <v>50</v>
      </c>
      <c r="M629" s="2617"/>
      <c r="N629" s="1870">
        <f>SUM(N630:N632)</f>
        <v>50</v>
      </c>
      <c r="O629" s="2617"/>
      <c r="P629" s="1870">
        <f>SUM(P630:P632)</f>
        <v>50</v>
      </c>
      <c r="Q629" s="2617"/>
      <c r="R629" s="2637">
        <f>SUM(R630:R632)</f>
        <v>50</v>
      </c>
      <c r="S629" s="2620"/>
      <c r="T629" s="3201">
        <v>0</v>
      </c>
      <c r="U629" s="1480"/>
      <c r="V629" s="1479">
        <f t="shared" si="672"/>
        <v>0</v>
      </c>
      <c r="W629" s="1480"/>
      <c r="X629" s="3198">
        <f t="shared" si="673"/>
        <v>0</v>
      </c>
    </row>
    <row r="630" spans="1:24" s="2582" customFormat="1">
      <c r="A630" s="2589" t="s">
        <v>20</v>
      </c>
      <c r="B630" s="2646">
        <v>0</v>
      </c>
      <c r="C630" s="3101"/>
      <c r="D630" s="2647">
        <v>0</v>
      </c>
      <c r="E630" s="2643"/>
      <c r="F630" s="2647">
        <v>11</v>
      </c>
      <c r="G630" s="2643"/>
      <c r="H630" s="2647">
        <v>16</v>
      </c>
      <c r="I630" s="2643"/>
      <c r="J630" s="2647">
        <v>24</v>
      </c>
      <c r="K630" s="2642"/>
      <c r="L630" s="2647">
        <v>24</v>
      </c>
      <c r="M630" s="2643"/>
      <c r="N630" s="2644">
        <v>24</v>
      </c>
      <c r="O630" s="2643"/>
      <c r="P630" s="2644">
        <v>24</v>
      </c>
      <c r="Q630" s="2643"/>
      <c r="R630" s="2489">
        <v>24</v>
      </c>
      <c r="S630" s="2620"/>
      <c r="T630" s="3202"/>
      <c r="U630" s="77"/>
      <c r="V630" s="78">
        <f t="shared" si="672"/>
        <v>0</v>
      </c>
      <c r="W630" s="77"/>
      <c r="X630" s="3192">
        <f t="shared" si="673"/>
        <v>0</v>
      </c>
    </row>
    <row r="631" spans="1:24" s="2582" customFormat="1">
      <c r="A631" s="2589" t="s">
        <v>17</v>
      </c>
      <c r="B631" s="2646">
        <v>0</v>
      </c>
      <c r="C631" s="3101"/>
      <c r="D631" s="2647">
        <v>0</v>
      </c>
      <c r="E631" s="2643"/>
      <c r="F631" s="2647">
        <v>8</v>
      </c>
      <c r="G631" s="2643"/>
      <c r="H631" s="2647">
        <v>16</v>
      </c>
      <c r="I631" s="2643"/>
      <c r="J631" s="2647">
        <v>26</v>
      </c>
      <c r="K631" s="2642"/>
      <c r="L631" s="2647">
        <v>25</v>
      </c>
      <c r="M631" s="2643"/>
      <c r="N631" s="2644">
        <v>25</v>
      </c>
      <c r="O631" s="2643"/>
      <c r="P631" s="2644">
        <v>25</v>
      </c>
      <c r="Q631" s="2643"/>
      <c r="R631" s="2645">
        <v>25</v>
      </c>
      <c r="S631" s="2620"/>
      <c r="T631" s="3202"/>
      <c r="U631" s="77"/>
      <c r="V631" s="78">
        <f t="shared" si="672"/>
        <v>0</v>
      </c>
      <c r="W631" s="77"/>
      <c r="X631" s="3192">
        <f t="shared" si="673"/>
        <v>0</v>
      </c>
    </row>
    <row r="632" spans="1:24" s="2582" customFormat="1" ht="13.8" thickBot="1">
      <c r="A632" s="1641" t="s">
        <v>154</v>
      </c>
      <c r="B632" s="2648">
        <v>0</v>
      </c>
      <c r="C632" s="3107"/>
      <c r="D632" s="2650">
        <v>0</v>
      </c>
      <c r="E632" s="2649"/>
      <c r="F632" s="2650">
        <v>0</v>
      </c>
      <c r="G632" s="2649"/>
      <c r="H632" s="2650">
        <v>1</v>
      </c>
      <c r="I632" s="2649"/>
      <c r="J632" s="2650">
        <v>0</v>
      </c>
      <c r="K632" s="2651"/>
      <c r="L632" s="2650">
        <v>1</v>
      </c>
      <c r="M632" s="2649"/>
      <c r="N632" s="2652">
        <v>1</v>
      </c>
      <c r="O632" s="2649"/>
      <c r="P632" s="2652">
        <v>1</v>
      </c>
      <c r="Q632" s="2649"/>
      <c r="R632" s="2653">
        <v>1</v>
      </c>
      <c r="S632" s="2622"/>
      <c r="T632" s="3203">
        <v>0</v>
      </c>
      <c r="U632" s="3194"/>
      <c r="V632" s="3195">
        <f t="shared" si="672"/>
        <v>0</v>
      </c>
      <c r="W632" s="3194"/>
      <c r="X632" s="3196">
        <f t="shared" si="673"/>
        <v>0</v>
      </c>
    </row>
    <row r="633" spans="1:24" s="2582" customFormat="1">
      <c r="A633" s="2588" t="s">
        <v>23</v>
      </c>
      <c r="B633" s="123">
        <f>B621+B625+B629</f>
        <v>12079</v>
      </c>
      <c r="C633" s="124"/>
      <c r="D633" s="1869">
        <f>D621+D625+D629</f>
        <v>12117</v>
      </c>
      <c r="E633" s="124"/>
      <c r="F633" s="1869">
        <f>F621+F625+F629</f>
        <v>12554</v>
      </c>
      <c r="G633" s="124"/>
      <c r="H633" s="1869">
        <f>H621+H625+H629</f>
        <v>13280</v>
      </c>
      <c r="I633" s="124"/>
      <c r="J633" s="1869">
        <f>J621+J625+J629</f>
        <v>13542</v>
      </c>
      <c r="K633" s="124"/>
      <c r="L633" s="1869">
        <f>L621+L625+L629</f>
        <v>14017</v>
      </c>
      <c r="M633" s="124"/>
      <c r="N633" s="1869">
        <f>N621+N625+N629</f>
        <v>14157</v>
      </c>
      <c r="O633" s="124"/>
      <c r="P633" s="2618">
        <f>P621+P625+P629</f>
        <v>14299</v>
      </c>
      <c r="Q633" s="124"/>
      <c r="R633" s="122">
        <f>R621+R625+R629</f>
        <v>14299</v>
      </c>
      <c r="S633" s="124"/>
      <c r="T633" s="3197">
        <f t="shared" ref="T633" si="675">(((N633/B633)^(1/6)-1))</f>
        <v>2.6809887053482973E-2</v>
      </c>
      <c r="U633" s="1480"/>
      <c r="V633" s="1479">
        <f t="shared" si="672"/>
        <v>1.0030373666737303E-2</v>
      </c>
      <c r="W633" s="1480"/>
      <c r="X633" s="3198">
        <f t="shared" si="673"/>
        <v>0</v>
      </c>
    </row>
    <row r="634" spans="1:24" s="2582" customFormat="1" ht="8.25" customHeight="1" thickBot="1">
      <c r="A634" s="2612"/>
      <c r="B634" s="126"/>
      <c r="C634" s="3068"/>
      <c r="D634" s="2620"/>
      <c r="E634" s="2620"/>
      <c r="F634" s="2620"/>
      <c r="G634" s="2620"/>
      <c r="H634" s="2620"/>
      <c r="I634" s="2620"/>
      <c r="J634" s="2620"/>
      <c r="K634" s="2620"/>
      <c r="L634" s="2620"/>
      <c r="M634" s="2620"/>
      <c r="N634" s="2620"/>
      <c r="O634" s="2620"/>
      <c r="P634" s="2617"/>
      <c r="Q634" s="2620"/>
      <c r="R634" s="127"/>
      <c r="S634" s="2620"/>
      <c r="T634" s="84"/>
      <c r="U634" s="34"/>
      <c r="V634" s="34"/>
      <c r="W634" s="34"/>
      <c r="X634" s="42"/>
    </row>
    <row r="635" spans="1:24" s="2582" customFormat="1">
      <c r="A635" s="2608" t="s">
        <v>24</v>
      </c>
      <c r="B635" s="115"/>
      <c r="C635" s="3073"/>
      <c r="D635" s="116"/>
      <c r="E635" s="2623"/>
      <c r="F635" s="116"/>
      <c r="G635" s="2623"/>
      <c r="H635" s="117"/>
      <c r="I635" s="2623"/>
      <c r="J635" s="117"/>
      <c r="K635" s="2623"/>
      <c r="L635" s="117"/>
      <c r="M635" s="2623"/>
      <c r="N635" s="2491"/>
      <c r="O635" s="2623"/>
      <c r="P635" s="118"/>
      <c r="Q635" s="2623"/>
      <c r="R635" s="119"/>
      <c r="S635" s="2623"/>
      <c r="T635" s="86"/>
      <c r="U635" s="45"/>
      <c r="V635" s="47"/>
      <c r="W635" s="45"/>
      <c r="X635" s="85"/>
    </row>
    <row r="636" spans="1:24" s="2582" customFormat="1">
      <c r="A636" s="2589" t="s">
        <v>19</v>
      </c>
      <c r="B636" s="2616">
        <f>SUM(B637:B639)</f>
        <v>8154.5</v>
      </c>
      <c r="C636" s="3065"/>
      <c r="D636" s="2618">
        <f>SUM(D637:D639)</f>
        <v>8124.2</v>
      </c>
      <c r="E636" s="2617"/>
      <c r="F636" s="2618">
        <f>SUM(F637:F639)</f>
        <v>8439.5</v>
      </c>
      <c r="G636" s="2617"/>
      <c r="H636" s="2618">
        <f>SUM(H637:H639)</f>
        <v>8891.3000000000011</v>
      </c>
      <c r="I636" s="2617"/>
      <c r="J636" s="2618">
        <f>SUM(J637:J639)</f>
        <v>8889.3000000000011</v>
      </c>
      <c r="K636" s="2617"/>
      <c r="L636" s="2618">
        <f>SUM(L637:L639)</f>
        <v>9111</v>
      </c>
      <c r="M636" s="2617"/>
      <c r="N636" s="1870">
        <f>SUM(N637:N639)</f>
        <v>9202</v>
      </c>
      <c r="O636" s="2617"/>
      <c r="P636" s="1870">
        <f>SUM(P637:P639)</f>
        <v>9294</v>
      </c>
      <c r="Q636" s="2617"/>
      <c r="R636" s="2637">
        <f>SUM(R637:R639)</f>
        <v>9294</v>
      </c>
      <c r="S636" s="2617"/>
      <c r="T636" s="3188">
        <f>(((N636/B636)^(1/6)-1))</f>
        <v>2.0346036876583318E-2</v>
      </c>
      <c r="U636" s="25"/>
      <c r="V636" s="3189">
        <f>(P636-N636)/N636</f>
        <v>9.9978265594435987E-3</v>
      </c>
      <c r="W636" s="25"/>
      <c r="X636" s="3190">
        <f>(R636-P636)/P636</f>
        <v>0</v>
      </c>
    </row>
    <row r="637" spans="1:24" s="2582" customFormat="1">
      <c r="A637" s="2589" t="s">
        <v>20</v>
      </c>
      <c r="B637" s="2654">
        <v>7403.7</v>
      </c>
      <c r="C637" s="3115"/>
      <c r="D637" s="2656">
        <v>7388.8</v>
      </c>
      <c r="E637" s="2655"/>
      <c r="F637" s="2656">
        <v>7609.2</v>
      </c>
      <c r="G637" s="2655"/>
      <c r="H637" s="2656">
        <v>7955.6</v>
      </c>
      <c r="I637" s="2655"/>
      <c r="J637" s="2656">
        <v>7949.6</v>
      </c>
      <c r="K637" s="2655"/>
      <c r="L637" s="2656">
        <v>8116.2</v>
      </c>
      <c r="M637" s="2655"/>
      <c r="N637" s="2490">
        <v>8197</v>
      </c>
      <c r="O637" s="2655"/>
      <c r="P637" s="2490">
        <v>8279</v>
      </c>
      <c r="Q637" s="2655"/>
      <c r="R637" s="2515">
        <v>8279</v>
      </c>
      <c r="S637" s="2620"/>
      <c r="T637" s="3191">
        <f t="shared" ref="T637:T640" si="676">(((N637/B637)^(1/6)-1))</f>
        <v>1.7109444584012534E-2</v>
      </c>
      <c r="U637" s="77"/>
      <c r="V637" s="78">
        <f t="shared" ref="V637:V646" si="677">(P637-N637)/N637</f>
        <v>1.000365987556423E-2</v>
      </c>
      <c r="W637" s="77"/>
      <c r="X637" s="3192">
        <f t="shared" ref="X637:X646" si="678">(R637-P637)/P637</f>
        <v>0</v>
      </c>
    </row>
    <row r="638" spans="1:24" s="2582" customFormat="1">
      <c r="A638" s="2589" t="s">
        <v>17</v>
      </c>
      <c r="B638" s="2654">
        <v>465</v>
      </c>
      <c r="C638" s="3115"/>
      <c r="D638" s="2656">
        <v>454.9</v>
      </c>
      <c r="E638" s="2655"/>
      <c r="F638" s="2656">
        <v>539.9</v>
      </c>
      <c r="G638" s="2655"/>
      <c r="H638" s="2656">
        <v>598.1</v>
      </c>
      <c r="I638" s="2655"/>
      <c r="J638" s="2656">
        <v>617</v>
      </c>
      <c r="K638" s="2655"/>
      <c r="L638" s="2656">
        <v>675.9</v>
      </c>
      <c r="M638" s="2655"/>
      <c r="N638" s="2490">
        <v>683</v>
      </c>
      <c r="O638" s="2655"/>
      <c r="P638" s="2490">
        <v>690</v>
      </c>
      <c r="Q638" s="2655"/>
      <c r="R638" s="2515">
        <v>690</v>
      </c>
      <c r="S638" s="2620"/>
      <c r="T638" s="3191">
        <f t="shared" si="676"/>
        <v>6.6173683229211466E-2</v>
      </c>
      <c r="U638" s="77"/>
      <c r="V638" s="78">
        <f t="shared" si="677"/>
        <v>1.0248901903367497E-2</v>
      </c>
      <c r="W638" s="77"/>
      <c r="X638" s="3192">
        <f t="shared" si="678"/>
        <v>0</v>
      </c>
    </row>
    <row r="639" spans="1:24" s="2582" customFormat="1">
      <c r="A639" s="2589" t="s">
        <v>154</v>
      </c>
      <c r="B639" s="2654">
        <v>285.8</v>
      </c>
      <c r="C639" s="3115"/>
      <c r="D639" s="2656">
        <v>280.5</v>
      </c>
      <c r="E639" s="2655"/>
      <c r="F639" s="2656">
        <v>290.39999999999998</v>
      </c>
      <c r="G639" s="2655"/>
      <c r="H639" s="2656">
        <v>337.6</v>
      </c>
      <c r="I639" s="2655"/>
      <c r="J639" s="2656">
        <v>322.7</v>
      </c>
      <c r="K639" s="2655"/>
      <c r="L639" s="2656">
        <v>318.89999999999998</v>
      </c>
      <c r="M639" s="2655"/>
      <c r="N639" s="2490">
        <v>322</v>
      </c>
      <c r="O639" s="2655"/>
      <c r="P639" s="2490">
        <v>325</v>
      </c>
      <c r="Q639" s="2655"/>
      <c r="R639" s="2515">
        <v>325</v>
      </c>
      <c r="S639" s="2620"/>
      <c r="T639" s="3191">
        <f t="shared" si="676"/>
        <v>2.0075400552912459E-2</v>
      </c>
      <c r="U639" s="77"/>
      <c r="V639" s="78">
        <f t="shared" si="677"/>
        <v>9.316770186335404E-3</v>
      </c>
      <c r="W639" s="77"/>
      <c r="X639" s="3192">
        <f t="shared" si="678"/>
        <v>0</v>
      </c>
    </row>
    <row r="640" spans="1:24" s="2582" customFormat="1">
      <c r="A640" s="2589" t="s">
        <v>21</v>
      </c>
      <c r="B640" s="2616">
        <f>SUM(B641:B643)</f>
        <v>522.1</v>
      </c>
      <c r="C640" s="3065"/>
      <c r="D640" s="2618">
        <f>SUM(D641:D643)</f>
        <v>507.79999999999995</v>
      </c>
      <c r="E640" s="2617"/>
      <c r="F640" s="2618">
        <f>SUM(F641:F643)</f>
        <v>520.5</v>
      </c>
      <c r="G640" s="2617"/>
      <c r="H640" s="2618">
        <f>SUM(H641:H643)</f>
        <v>553.79999999999995</v>
      </c>
      <c r="I640" s="2617"/>
      <c r="J640" s="2618">
        <f>SUM(J641:J643)</f>
        <v>539.6</v>
      </c>
      <c r="K640" s="2617"/>
      <c r="L640" s="2618">
        <f>SUM(L641:L643)</f>
        <v>577.4</v>
      </c>
      <c r="M640" s="2617"/>
      <c r="N640" s="1870">
        <f>SUM(N641:N643)</f>
        <v>583</v>
      </c>
      <c r="O640" s="2617"/>
      <c r="P640" s="1870">
        <f>SUM(P641:P643)</f>
        <v>588</v>
      </c>
      <c r="Q640" s="2617"/>
      <c r="R640" s="2637">
        <f>SUM(R641:R643)</f>
        <v>588</v>
      </c>
      <c r="S640" s="2620"/>
      <c r="T640" s="3197">
        <f t="shared" si="676"/>
        <v>1.8558108071448309E-2</v>
      </c>
      <c r="U640" s="1480"/>
      <c r="V640" s="1479">
        <f t="shared" si="677"/>
        <v>8.5763293310463125E-3</v>
      </c>
      <c r="W640" s="1480"/>
      <c r="X640" s="3198">
        <f t="shared" si="678"/>
        <v>0</v>
      </c>
    </row>
    <row r="641" spans="1:36" s="2582" customFormat="1">
      <c r="A641" s="2589" t="s">
        <v>20</v>
      </c>
      <c r="B641" s="2659">
        <v>376.3</v>
      </c>
      <c r="C641" s="3115"/>
      <c r="D641" s="2658">
        <v>371.5</v>
      </c>
      <c r="E641" s="2657"/>
      <c r="F641" s="2658">
        <v>384.5</v>
      </c>
      <c r="G641" s="2657"/>
      <c r="H641" s="2658">
        <v>397.3</v>
      </c>
      <c r="I641" s="2657"/>
      <c r="J641" s="2658">
        <v>388.2</v>
      </c>
      <c r="K641" s="2657"/>
      <c r="L641" s="2658">
        <v>404.8</v>
      </c>
      <c r="M641" s="2657"/>
      <c r="N641" s="2490">
        <v>409</v>
      </c>
      <c r="O641" s="2657"/>
      <c r="P641" s="2490">
        <v>413</v>
      </c>
      <c r="Q641" s="2657"/>
      <c r="R641" s="2515">
        <v>413</v>
      </c>
      <c r="S641" s="2620"/>
      <c r="T641" s="3191">
        <f>(((N641/B641)^(1/6)-1))</f>
        <v>1.3984963747063706E-2</v>
      </c>
      <c r="U641" s="77"/>
      <c r="V641" s="78">
        <f t="shared" si="677"/>
        <v>9.7799511002444987E-3</v>
      </c>
      <c r="W641" s="77"/>
      <c r="X641" s="3192">
        <f t="shared" si="678"/>
        <v>0</v>
      </c>
    </row>
    <row r="642" spans="1:36" s="2582" customFormat="1">
      <c r="A642" s="2589" t="s">
        <v>17</v>
      </c>
      <c r="B642" s="2659">
        <v>105.3</v>
      </c>
      <c r="C642" s="3115"/>
      <c r="D642" s="2658">
        <v>99.4</v>
      </c>
      <c r="E642" s="2657"/>
      <c r="F642" s="2658">
        <v>92.8</v>
      </c>
      <c r="G642" s="2657"/>
      <c r="H642" s="2658">
        <v>110.5</v>
      </c>
      <c r="I642" s="2657"/>
      <c r="J642" s="2658">
        <v>110</v>
      </c>
      <c r="K642" s="2657"/>
      <c r="L642" s="2658">
        <v>128.6</v>
      </c>
      <c r="M642" s="2657"/>
      <c r="N642" s="2490">
        <v>130</v>
      </c>
      <c r="O642" s="2657"/>
      <c r="P642" s="2490">
        <v>131</v>
      </c>
      <c r="Q642" s="2657"/>
      <c r="R642" s="2515">
        <v>131</v>
      </c>
      <c r="S642" s="2620"/>
      <c r="T642" s="3191">
        <f t="shared" ref="T642:T643" si="679">(((N642/B642)^(1/6)-1))</f>
        <v>3.5744168651286268E-2</v>
      </c>
      <c r="U642" s="77"/>
      <c r="V642" s="78">
        <f t="shared" si="677"/>
        <v>7.6923076923076927E-3</v>
      </c>
      <c r="W642" s="77"/>
      <c r="X642" s="3192">
        <f t="shared" si="678"/>
        <v>0</v>
      </c>
      <c r="Z642" s="3715"/>
      <c r="AA642" s="3715"/>
      <c r="AB642" s="3715"/>
      <c r="AC642" s="3715"/>
      <c r="AD642" s="3715"/>
      <c r="AE642" s="3715"/>
      <c r="AF642" s="3715"/>
      <c r="AG642" s="3715"/>
      <c r="AH642" s="3715"/>
      <c r="AI642" s="3715"/>
      <c r="AJ642" s="3715"/>
    </row>
    <row r="643" spans="1:36" s="2582" customFormat="1">
      <c r="A643" s="2589" t="s">
        <v>154</v>
      </c>
      <c r="B643" s="2659">
        <v>40.5</v>
      </c>
      <c r="C643" s="3115"/>
      <c r="D643" s="2658">
        <v>36.9</v>
      </c>
      <c r="E643" s="2657"/>
      <c r="F643" s="2658">
        <v>43.2</v>
      </c>
      <c r="G643" s="2657"/>
      <c r="H643" s="2658">
        <v>46</v>
      </c>
      <c r="I643" s="2657"/>
      <c r="J643" s="2658">
        <v>41.4</v>
      </c>
      <c r="K643" s="2657"/>
      <c r="L643" s="2658">
        <v>44</v>
      </c>
      <c r="M643" s="2657"/>
      <c r="N643" s="2490">
        <v>44</v>
      </c>
      <c r="O643" s="2657"/>
      <c r="P643" s="2490">
        <v>44</v>
      </c>
      <c r="Q643" s="2657"/>
      <c r="R643" s="2515">
        <v>44</v>
      </c>
      <c r="S643" s="2620"/>
      <c r="T643" s="3191">
        <f t="shared" si="679"/>
        <v>1.3910472618294589E-2</v>
      </c>
      <c r="U643" s="77"/>
      <c r="V643" s="78">
        <f t="shared" si="677"/>
        <v>0</v>
      </c>
      <c r="W643" s="77"/>
      <c r="X643" s="3192">
        <f t="shared" si="678"/>
        <v>0</v>
      </c>
    </row>
    <row r="644" spans="1:36" s="2582" customFormat="1">
      <c r="A644" s="2590" t="s">
        <v>22</v>
      </c>
      <c r="B644" s="2616">
        <f>SUM(B645:B647)</f>
        <v>0</v>
      </c>
      <c r="C644" s="3065"/>
      <c r="D644" s="2618">
        <f>SUM(D645:D647)</f>
        <v>0</v>
      </c>
      <c r="E644" s="2617"/>
      <c r="F644" s="2618">
        <f>SUM(F645:F647)</f>
        <v>7.8000000000000007</v>
      </c>
      <c r="G644" s="2617"/>
      <c r="H644" s="2618">
        <f>SUM(H645:H647)</f>
        <v>17.3</v>
      </c>
      <c r="I644" s="2617"/>
      <c r="J644" s="2618">
        <f>SUM(J645:J647)</f>
        <v>25.5</v>
      </c>
      <c r="K644" s="2617"/>
      <c r="L644" s="2618">
        <f>SUM(L645:L647)</f>
        <v>28.300000000000004</v>
      </c>
      <c r="M644" s="2617"/>
      <c r="N644" s="1870">
        <f>SUM(N645:N647)</f>
        <v>28</v>
      </c>
      <c r="O644" s="2617"/>
      <c r="P644" s="1870">
        <f>SUM(P645:P647)</f>
        <v>28</v>
      </c>
      <c r="Q644" s="2617"/>
      <c r="R644" s="2637">
        <f>SUM(R645:R647)</f>
        <v>28</v>
      </c>
      <c r="S644" s="2620"/>
      <c r="T644" s="3201">
        <v>0</v>
      </c>
      <c r="U644" s="1480"/>
      <c r="V644" s="1479">
        <f t="shared" si="677"/>
        <v>0</v>
      </c>
      <c r="W644" s="1480"/>
      <c r="X644" s="3198">
        <f t="shared" si="678"/>
        <v>0</v>
      </c>
    </row>
    <row r="645" spans="1:36" s="2582" customFormat="1">
      <c r="A645" s="2589" t="s">
        <v>20</v>
      </c>
      <c r="B645" s="2663">
        <v>0</v>
      </c>
      <c r="C645" s="3115"/>
      <c r="D645" s="2664">
        <v>0</v>
      </c>
      <c r="E645" s="2660"/>
      <c r="F645" s="2664">
        <v>4.7</v>
      </c>
      <c r="G645" s="2660"/>
      <c r="H645" s="2664">
        <v>9</v>
      </c>
      <c r="I645" s="2660"/>
      <c r="J645" s="2664">
        <v>12.5</v>
      </c>
      <c r="K645" s="2660"/>
      <c r="L645" s="2661">
        <v>13.9</v>
      </c>
      <c r="M645" s="2660"/>
      <c r="N645" s="2490">
        <v>14</v>
      </c>
      <c r="O645" s="2660"/>
      <c r="P645" s="2490">
        <v>14</v>
      </c>
      <c r="Q645" s="2660"/>
      <c r="R645" s="2662">
        <v>14</v>
      </c>
      <c r="S645" s="2620"/>
      <c r="T645" s="3202"/>
      <c r="U645" s="77"/>
      <c r="V645" s="78">
        <f t="shared" si="677"/>
        <v>0</v>
      </c>
      <c r="W645" s="77"/>
      <c r="X645" s="3192">
        <f t="shared" si="678"/>
        <v>0</v>
      </c>
    </row>
    <row r="646" spans="1:36" s="2582" customFormat="1">
      <c r="A646" s="2589" t="s">
        <v>17</v>
      </c>
      <c r="B646" s="2663">
        <v>0</v>
      </c>
      <c r="C646" s="3115"/>
      <c r="D646" s="2664">
        <v>0</v>
      </c>
      <c r="E646" s="2660"/>
      <c r="F646" s="2664">
        <v>3.1</v>
      </c>
      <c r="G646" s="2660"/>
      <c r="H646" s="2664">
        <v>7.5</v>
      </c>
      <c r="I646" s="2660"/>
      <c r="J646" s="2664">
        <v>13</v>
      </c>
      <c r="K646" s="2660"/>
      <c r="L646" s="2661">
        <v>14.3</v>
      </c>
      <c r="M646" s="2660"/>
      <c r="N646" s="2661">
        <v>14</v>
      </c>
      <c r="O646" s="2660"/>
      <c r="P646" s="2661">
        <v>14</v>
      </c>
      <c r="Q646" s="2660"/>
      <c r="R646" s="2662">
        <v>14</v>
      </c>
      <c r="S646" s="2620"/>
      <c r="T646" s="3202"/>
      <c r="U646" s="77"/>
      <c r="V646" s="78">
        <f t="shared" si="677"/>
        <v>0</v>
      </c>
      <c r="W646" s="77"/>
      <c r="X646" s="3192">
        <f t="shared" si="678"/>
        <v>0</v>
      </c>
    </row>
    <row r="647" spans="1:36" s="2582" customFormat="1" ht="13.8" thickBot="1">
      <c r="A647" s="2479" t="s">
        <v>154</v>
      </c>
      <c r="B647" s="2665">
        <v>0</v>
      </c>
      <c r="C647" s="2666"/>
      <c r="D647" s="2667">
        <v>0</v>
      </c>
      <c r="E647" s="2666"/>
      <c r="F647" s="2667">
        <v>0</v>
      </c>
      <c r="G647" s="2666"/>
      <c r="H647" s="2667">
        <v>0.8</v>
      </c>
      <c r="I647" s="2666"/>
      <c r="J647" s="2667">
        <v>0</v>
      </c>
      <c r="K647" s="2666"/>
      <c r="L647" s="2668">
        <v>0.1</v>
      </c>
      <c r="M647" s="2666"/>
      <c r="N647" s="2668">
        <v>0</v>
      </c>
      <c r="O647" s="2666"/>
      <c r="P647" s="2668">
        <v>0</v>
      </c>
      <c r="Q647" s="2666"/>
      <c r="R647" s="2669">
        <v>0</v>
      </c>
      <c r="S647" s="2622"/>
      <c r="T647" s="3203">
        <v>0</v>
      </c>
      <c r="U647" s="3194"/>
      <c r="V647" s="3195">
        <v>0</v>
      </c>
      <c r="W647" s="3194"/>
      <c r="X647" s="3196">
        <v>0</v>
      </c>
    </row>
    <row r="648" spans="1:36" s="2582" customFormat="1" ht="13.8" thickTop="1">
      <c r="A648" s="2588" t="s">
        <v>25</v>
      </c>
      <c r="B648" s="123">
        <f>B636+B640+B644</f>
        <v>8676.6</v>
      </c>
      <c r="C648" s="124"/>
      <c r="D648" s="1869">
        <f>D636+D640+D644</f>
        <v>8632</v>
      </c>
      <c r="E648" s="124"/>
      <c r="F648" s="1869">
        <f>F636+F640+F644</f>
        <v>8967.7999999999993</v>
      </c>
      <c r="G648" s="124"/>
      <c r="H648" s="1869">
        <f>H636+H640+H644</f>
        <v>9462.4</v>
      </c>
      <c r="I648" s="124"/>
      <c r="J648" s="1869">
        <f>J636+J640+J644</f>
        <v>9454.4000000000015</v>
      </c>
      <c r="K648" s="124"/>
      <c r="L648" s="1869">
        <f>L636+L640+L644</f>
        <v>9716.6999999999989</v>
      </c>
      <c r="M648" s="124"/>
      <c r="N648" s="1869">
        <f>N636+N640+N644</f>
        <v>9813</v>
      </c>
      <c r="O648" s="124"/>
      <c r="P648" s="2618">
        <f>P636+P640+P644</f>
        <v>9910</v>
      </c>
      <c r="Q648" s="124"/>
      <c r="R648" s="122">
        <f>R636+R640+R644</f>
        <v>9910</v>
      </c>
      <c r="S648" s="124"/>
      <c r="T648" s="3197">
        <f t="shared" ref="T648" si="680">(((N648/B648)^(1/6)-1))</f>
        <v>2.0724886975717061E-2</v>
      </c>
      <c r="U648" s="1480"/>
      <c r="V648" s="1479">
        <f t="shared" ref="V648" si="681">(P648-N648)/N648</f>
        <v>9.8848466320187508E-3</v>
      </c>
      <c r="W648" s="1480"/>
      <c r="X648" s="3198">
        <f t="shared" ref="X648" si="682">(R648-P648)/P648</f>
        <v>0</v>
      </c>
    </row>
    <row r="649" spans="1:36" s="2582" customFormat="1" ht="8.25" customHeight="1" thickBot="1">
      <c r="A649" s="2612"/>
      <c r="B649" s="126"/>
      <c r="C649" s="3068"/>
      <c r="D649" s="2620"/>
      <c r="E649" s="2620"/>
      <c r="F649" s="2620"/>
      <c r="G649" s="2620"/>
      <c r="H649" s="2620"/>
      <c r="I649" s="2620"/>
      <c r="J649" s="2620"/>
      <c r="K649" s="2620"/>
      <c r="L649" s="2620"/>
      <c r="M649" s="2620"/>
      <c r="N649" s="2620"/>
      <c r="O649" s="2620"/>
      <c r="P649" s="2617"/>
      <c r="Q649" s="2620"/>
      <c r="R649" s="127"/>
      <c r="S649" s="2620"/>
      <c r="T649" s="84"/>
      <c r="U649" s="34"/>
      <c r="V649" s="34"/>
      <c r="W649" s="34"/>
      <c r="X649" s="42"/>
    </row>
    <row r="650" spans="1:36" s="2582" customFormat="1">
      <c r="A650" s="2608" t="s">
        <v>78</v>
      </c>
      <c r="B650" s="2601"/>
      <c r="C650" s="3097"/>
      <c r="D650" s="2603"/>
      <c r="E650" s="2602"/>
      <c r="F650" s="2603"/>
      <c r="G650" s="2602"/>
      <c r="H650" s="2604"/>
      <c r="I650" s="2602"/>
      <c r="J650" s="2604"/>
      <c r="K650" s="2602"/>
      <c r="L650" s="2604"/>
      <c r="M650" s="2602"/>
      <c r="N650" s="2604"/>
      <c r="O650" s="2602"/>
      <c r="P650" s="2605"/>
      <c r="Q650" s="2602"/>
      <c r="R650" s="2606"/>
      <c r="S650" s="2623"/>
      <c r="T650" s="86"/>
      <c r="U650" s="45"/>
      <c r="V650" s="47"/>
      <c r="W650" s="45"/>
      <c r="X650" s="85"/>
    </row>
    <row r="651" spans="1:36" s="2582" customFormat="1">
      <c r="A651" s="2590" t="s">
        <v>79</v>
      </c>
      <c r="B651" s="2683">
        <v>481</v>
      </c>
      <c r="C651" s="3119"/>
      <c r="D651" s="2685">
        <v>668</v>
      </c>
      <c r="E651" s="2684"/>
      <c r="F651" s="2685">
        <v>865</v>
      </c>
      <c r="G651" s="2684"/>
      <c r="H651" s="2686">
        <v>1175</v>
      </c>
      <c r="I651" s="2684"/>
      <c r="J651" s="2686">
        <v>1485</v>
      </c>
      <c r="K651" s="2682"/>
      <c r="L651" s="2686">
        <v>1718</v>
      </c>
      <c r="M651" s="2682"/>
      <c r="N651" s="2685">
        <v>1761</v>
      </c>
      <c r="O651" s="2682"/>
      <c r="P651" s="2685">
        <v>1805</v>
      </c>
      <c r="Q651" s="2682"/>
      <c r="R651" s="2687">
        <v>1850</v>
      </c>
      <c r="S651" s="2617"/>
      <c r="T651" s="3191">
        <f t="shared" ref="T651:T652" si="683">(((N651/B651)^(1/6)-1))</f>
        <v>0.24146852477239178</v>
      </c>
      <c r="U651" s="77"/>
      <c r="V651" s="78">
        <f t="shared" ref="V651:V652" si="684">(P651-N651)/N651</f>
        <v>2.4985803520726858E-2</v>
      </c>
      <c r="W651" s="77"/>
      <c r="X651" s="3192">
        <f t="shared" ref="X651:X652" si="685">(R651-P651)/P651</f>
        <v>2.4930747922437674E-2</v>
      </c>
    </row>
    <row r="652" spans="1:36" s="2582" customFormat="1" ht="13.8" thickBot="1">
      <c r="A652" s="2596" t="s">
        <v>80</v>
      </c>
      <c r="B652" s="2688">
        <v>72.900000000000006</v>
      </c>
      <c r="C652" s="3125"/>
      <c r="D652" s="2689">
        <v>97</v>
      </c>
      <c r="E652" s="2690"/>
      <c r="F652" s="2689">
        <v>144.69999999999999</v>
      </c>
      <c r="G652" s="2690"/>
      <c r="H652" s="2691">
        <v>215.2</v>
      </c>
      <c r="I652" s="2690"/>
      <c r="J652" s="2691">
        <v>265.2</v>
      </c>
      <c r="K652" s="2692"/>
      <c r="L652" s="2691">
        <v>326.2</v>
      </c>
      <c r="M652" s="2692"/>
      <c r="N652" s="2691">
        <v>334</v>
      </c>
      <c r="O652" s="2692"/>
      <c r="P652" s="2691">
        <v>342</v>
      </c>
      <c r="Q652" s="2692"/>
      <c r="R652" s="2693">
        <v>351</v>
      </c>
      <c r="S652" s="97"/>
      <c r="T652" s="3191">
        <f t="shared" si="683"/>
        <v>0.2887533971211016</v>
      </c>
      <c r="U652" s="77"/>
      <c r="V652" s="78">
        <f t="shared" si="684"/>
        <v>2.3952095808383235E-2</v>
      </c>
      <c r="W652" s="77"/>
      <c r="X652" s="3192">
        <f t="shared" si="685"/>
        <v>2.6315789473684209E-2</v>
      </c>
      <c r="Y652" s="3259"/>
    </row>
    <row r="653" spans="1:36" s="2765" customFormat="1" ht="13.8" thickBot="1">
      <c r="A653" s="111"/>
      <c r="B653" s="112"/>
      <c r="C653" s="112"/>
      <c r="D653" s="112"/>
      <c r="E653" s="112"/>
      <c r="F653" s="113"/>
      <c r="G653" s="112"/>
      <c r="H653" s="112"/>
      <c r="I653" s="112"/>
      <c r="J653" s="112"/>
      <c r="K653" s="112"/>
      <c r="L653" s="112"/>
      <c r="M653" s="112"/>
      <c r="N653" s="112"/>
      <c r="O653" s="112"/>
      <c r="P653" s="112"/>
      <c r="Q653" s="112"/>
      <c r="R653" s="112"/>
      <c r="S653" s="112"/>
      <c r="T653" s="112"/>
      <c r="U653" s="112"/>
      <c r="V653" s="112"/>
      <c r="W653" s="112"/>
      <c r="X653" s="112"/>
    </row>
    <row r="654" spans="1:36" s="2768" customFormat="1">
      <c r="A654" s="114" t="s">
        <v>243</v>
      </c>
      <c r="B654" s="2788" t="s">
        <v>13</v>
      </c>
      <c r="C654" s="3051"/>
      <c r="D654" s="2789" t="s">
        <v>13</v>
      </c>
      <c r="E654" s="2784"/>
      <c r="F654" s="2800" t="s">
        <v>13</v>
      </c>
      <c r="G654" s="2784"/>
      <c r="H654" s="2800" t="s">
        <v>13</v>
      </c>
      <c r="I654" s="2784"/>
      <c r="J654" s="2800" t="s">
        <v>13</v>
      </c>
      <c r="K654" s="2784"/>
      <c r="L654" s="2798" t="s">
        <v>14</v>
      </c>
      <c r="M654" s="2784"/>
      <c r="N654" s="2798" t="s">
        <v>15</v>
      </c>
      <c r="O654" s="2784"/>
      <c r="P654" s="2802" t="s">
        <v>16</v>
      </c>
      <c r="Q654" s="2784"/>
      <c r="R654" s="2803" t="s">
        <v>16</v>
      </c>
      <c r="S654" s="2784"/>
      <c r="T654" s="2811" t="s">
        <v>62</v>
      </c>
      <c r="U654" s="2812"/>
      <c r="V654" s="2813" t="s">
        <v>75</v>
      </c>
      <c r="W654" s="2812"/>
      <c r="X654" s="2814" t="s">
        <v>75</v>
      </c>
    </row>
    <row r="655" spans="1:36" s="2768" customFormat="1" ht="13.8" thickBot="1">
      <c r="A655" s="2790"/>
      <c r="B655" s="2791" t="s">
        <v>3</v>
      </c>
      <c r="C655" s="3053"/>
      <c r="D655" s="2792" t="s">
        <v>4</v>
      </c>
      <c r="E655" s="2785"/>
      <c r="F655" s="2801" t="s">
        <v>5</v>
      </c>
      <c r="G655" s="2785"/>
      <c r="H655" s="2799" t="s">
        <v>6</v>
      </c>
      <c r="I655" s="2785"/>
      <c r="J655" s="2799" t="s">
        <v>7</v>
      </c>
      <c r="K655" s="2785"/>
      <c r="L655" s="2799" t="s">
        <v>8</v>
      </c>
      <c r="M655" s="2785"/>
      <c r="N655" s="2799" t="s">
        <v>9</v>
      </c>
      <c r="O655" s="2785"/>
      <c r="P655" s="2815" t="s">
        <v>10</v>
      </c>
      <c r="Q655" s="2785"/>
      <c r="R655" s="2816" t="s">
        <v>11</v>
      </c>
      <c r="S655" s="2785"/>
      <c r="T655" s="2817" t="s">
        <v>63</v>
      </c>
      <c r="U655" s="2797"/>
      <c r="V655" s="2818" t="s">
        <v>76</v>
      </c>
      <c r="W655" s="2797"/>
      <c r="X655" s="2819" t="s">
        <v>77</v>
      </c>
    </row>
    <row r="656" spans="1:36" s="2765" customFormat="1">
      <c r="A656" s="2793" t="s">
        <v>81</v>
      </c>
      <c r="B656" s="115"/>
      <c r="C656" s="3073"/>
      <c r="D656" s="116"/>
      <c r="E656" s="2623"/>
      <c r="F656" s="116"/>
      <c r="G656" s="2623"/>
      <c r="H656" s="117"/>
      <c r="I656" s="2623"/>
      <c r="J656" s="117"/>
      <c r="K656" s="2623"/>
      <c r="L656" s="117"/>
      <c r="M656" s="2623"/>
      <c r="N656" s="117"/>
      <c r="O656" s="2623"/>
      <c r="P656" s="118"/>
      <c r="Q656" s="2623"/>
      <c r="R656" s="119"/>
      <c r="S656" s="2623"/>
      <c r="T656" s="120"/>
      <c r="U656" s="2623"/>
      <c r="V656" s="117"/>
      <c r="W656" s="2623"/>
      <c r="X656" s="121"/>
    </row>
    <row r="657" spans="1:24" s="2765" customFormat="1">
      <c r="A657" s="2769" t="s">
        <v>19</v>
      </c>
      <c r="B657" s="2616">
        <f>SUM(B658:B660)</f>
        <v>108745</v>
      </c>
      <c r="C657" s="3065"/>
      <c r="D657" s="2618">
        <f>SUM(D658:D660)</f>
        <v>118114</v>
      </c>
      <c r="E657" s="2617"/>
      <c r="F657" s="2618">
        <f>SUM(F658:F660)</f>
        <v>135695</v>
      </c>
      <c r="G657" s="2617"/>
      <c r="H657" s="2618">
        <f>SUM(H658:H660)</f>
        <v>166818</v>
      </c>
      <c r="I657" s="2617"/>
      <c r="J657" s="2618">
        <f>SUM(J658:J660)</f>
        <v>174707</v>
      </c>
      <c r="K657" s="2617"/>
      <c r="L657" s="2618">
        <f>SUM(L658:L660)</f>
        <v>176769</v>
      </c>
      <c r="M657" s="2617"/>
      <c r="N657" s="2618">
        <f>SUM(N658:N660)</f>
        <v>180834.68700000001</v>
      </c>
      <c r="O657" s="2617"/>
      <c r="P657" s="2618">
        <f>SUM(P658:P660)</f>
        <v>184993.88480099998</v>
      </c>
      <c r="Q657" s="2617"/>
      <c r="R657" s="122">
        <f>SUM(R658:R660)</f>
        <v>189248.74415142302</v>
      </c>
      <c r="S657" s="2617"/>
      <c r="T657" s="3188">
        <f>(((N657/B657)^(1/6)-1))</f>
        <v>8.8458997045807619E-2</v>
      </c>
      <c r="U657" s="25"/>
      <c r="V657" s="3189">
        <f>(P657-N657)/N657</f>
        <v>2.299999999999985E-2</v>
      </c>
      <c r="W657" s="25"/>
      <c r="X657" s="3190">
        <f>(R657-P657)/P657</f>
        <v>2.3000000000000204E-2</v>
      </c>
    </row>
    <row r="658" spans="1:24" s="2765" customFormat="1">
      <c r="A658" s="2769" t="s">
        <v>20</v>
      </c>
      <c r="B658" s="2854">
        <v>107136</v>
      </c>
      <c r="C658" s="3101"/>
      <c r="D658" s="2856">
        <v>116471</v>
      </c>
      <c r="E658" s="2855"/>
      <c r="F658" s="2856">
        <v>132869</v>
      </c>
      <c r="G658" s="2855"/>
      <c r="H658" s="2856">
        <v>163070</v>
      </c>
      <c r="I658" s="2855"/>
      <c r="J658" s="2856">
        <v>170631</v>
      </c>
      <c r="K658" s="2853"/>
      <c r="L658" s="2857">
        <v>171938</v>
      </c>
      <c r="M658" s="2853"/>
      <c r="N658" s="2858">
        <v>175892.57399999999</v>
      </c>
      <c r="O658" s="2853"/>
      <c r="P658" s="2859">
        <v>179938.103202</v>
      </c>
      <c r="Q658" s="2853"/>
      <c r="R658" s="2860">
        <v>184076.67957564601</v>
      </c>
      <c r="S658" s="2620"/>
      <c r="T658" s="3191">
        <f t="shared" ref="T658:T660" si="686">(((N658/B658)^(1/6)-1))</f>
        <v>8.6138844777555734E-2</v>
      </c>
      <c r="U658" s="77"/>
      <c r="V658" s="78">
        <f t="shared" ref="V658:V669" si="687">(P658-N658)/N658</f>
        <v>2.3000000000000031E-2</v>
      </c>
      <c r="W658" s="77"/>
      <c r="X658" s="3192">
        <f t="shared" ref="X658:X669" si="688">(R658-P658)/P658</f>
        <v>2.3000000000000038E-2</v>
      </c>
    </row>
    <row r="659" spans="1:24" s="2765" customFormat="1">
      <c r="A659" s="2769" t="s">
        <v>17</v>
      </c>
      <c r="B659" s="2854">
        <v>883</v>
      </c>
      <c r="C659" s="3101"/>
      <c r="D659" s="2856">
        <v>1041</v>
      </c>
      <c r="E659" s="2855"/>
      <c r="F659" s="2856">
        <v>2208</v>
      </c>
      <c r="G659" s="2855"/>
      <c r="H659" s="2856">
        <v>2845</v>
      </c>
      <c r="I659" s="2855"/>
      <c r="J659" s="2856">
        <v>3042</v>
      </c>
      <c r="K659" s="2853"/>
      <c r="L659" s="2857">
        <v>3687</v>
      </c>
      <c r="M659" s="2853"/>
      <c r="N659" s="2858">
        <v>3771.8009999999999</v>
      </c>
      <c r="O659" s="2853"/>
      <c r="P659" s="2859">
        <v>3858.5524230000001</v>
      </c>
      <c r="Q659" s="2853"/>
      <c r="R659" s="2860">
        <v>3947.2991287290001</v>
      </c>
      <c r="S659" s="2620"/>
      <c r="T659" s="3191">
        <f t="shared" si="686"/>
        <v>0.27379051677876887</v>
      </c>
      <c r="U659" s="77"/>
      <c r="V659" s="78">
        <f t="shared" si="687"/>
        <v>2.3000000000000041E-2</v>
      </c>
      <c r="W659" s="77"/>
      <c r="X659" s="3192">
        <f t="shared" si="688"/>
        <v>2.300000000000001E-2</v>
      </c>
    </row>
    <row r="660" spans="1:24" s="2765" customFormat="1">
      <c r="A660" s="2769" t="s">
        <v>154</v>
      </c>
      <c r="B660" s="2854">
        <v>726</v>
      </c>
      <c r="C660" s="3101"/>
      <c r="D660" s="2856">
        <v>602</v>
      </c>
      <c r="E660" s="2855"/>
      <c r="F660" s="2856">
        <v>618</v>
      </c>
      <c r="G660" s="2855"/>
      <c r="H660" s="2856">
        <v>903</v>
      </c>
      <c r="I660" s="2855"/>
      <c r="J660" s="2856">
        <v>1034</v>
      </c>
      <c r="K660" s="2853"/>
      <c r="L660" s="2857">
        <v>1144</v>
      </c>
      <c r="M660" s="2853"/>
      <c r="N660" s="2858">
        <v>1170.3119999999999</v>
      </c>
      <c r="O660" s="2853"/>
      <c r="P660" s="2859">
        <v>1197.2291759999998</v>
      </c>
      <c r="Q660" s="2853"/>
      <c r="R660" s="2860">
        <v>1224.7654470479997</v>
      </c>
      <c r="S660" s="2620"/>
      <c r="T660" s="3191">
        <f t="shared" si="686"/>
        <v>8.2831396518438627E-2</v>
      </c>
      <c r="U660" s="77"/>
      <c r="V660" s="78">
        <f t="shared" si="687"/>
        <v>2.2999999999999941E-2</v>
      </c>
      <c r="W660" s="77"/>
      <c r="X660" s="3192">
        <f t="shared" si="688"/>
        <v>2.2999999999999909E-2</v>
      </c>
    </row>
    <row r="661" spans="1:24" s="2765" customFormat="1">
      <c r="A661" s="2769" t="s">
        <v>21</v>
      </c>
      <c r="B661" s="2616">
        <f>SUM(B662:B664)</f>
        <v>0</v>
      </c>
      <c r="C661" s="3065"/>
      <c r="D661" s="2618">
        <f>SUM(D662:D664)</f>
        <v>0</v>
      </c>
      <c r="E661" s="2617"/>
      <c r="F661" s="2618">
        <f>SUM(F662:F664)</f>
        <v>0</v>
      </c>
      <c r="G661" s="2617"/>
      <c r="H661" s="2618">
        <f>SUM(H662:H664)</f>
        <v>0</v>
      </c>
      <c r="I661" s="2617"/>
      <c r="J661" s="2618">
        <f>SUM(J662:J664)</f>
        <v>0</v>
      </c>
      <c r="K661" s="2617"/>
      <c r="L661" s="2618">
        <f>SUM(L662:L664)</f>
        <v>0</v>
      </c>
      <c r="M661" s="2617"/>
      <c r="N661" s="1870">
        <f>SUM(N662:N664)</f>
        <v>0</v>
      </c>
      <c r="O661" s="2617"/>
      <c r="P661" s="1870">
        <f>SUM(P662:P664)</f>
        <v>0</v>
      </c>
      <c r="Q661" s="2617"/>
      <c r="R661" s="2637">
        <f>SUM(R662:R664)</f>
        <v>0</v>
      </c>
      <c r="S661" s="2620"/>
      <c r="T661" s="3197">
        <v>0</v>
      </c>
      <c r="U661" s="1480"/>
      <c r="V661" s="1479">
        <v>0</v>
      </c>
      <c r="W661" s="1480"/>
      <c r="X661" s="3198">
        <v>0</v>
      </c>
    </row>
    <row r="662" spans="1:24" s="2765" customFormat="1">
      <c r="A662" s="2769" t="s">
        <v>20</v>
      </c>
      <c r="B662" s="2862">
        <v>0</v>
      </c>
      <c r="C662" s="3101"/>
      <c r="D662" s="2864">
        <v>0</v>
      </c>
      <c r="E662" s="2863"/>
      <c r="F662" s="2864">
        <v>0</v>
      </c>
      <c r="G662" s="2863"/>
      <c r="H662" s="2864">
        <v>0</v>
      </c>
      <c r="I662" s="2863"/>
      <c r="J662" s="2864">
        <v>0</v>
      </c>
      <c r="K662" s="2861"/>
      <c r="L662" s="2865">
        <v>0</v>
      </c>
      <c r="M662" s="2861"/>
      <c r="N662" s="2864">
        <v>0</v>
      </c>
      <c r="O662" s="2861"/>
      <c r="P662" s="3023">
        <v>0</v>
      </c>
      <c r="Q662" s="3088"/>
      <c r="R662" s="3025">
        <v>0</v>
      </c>
      <c r="S662" s="2620"/>
      <c r="T662" s="3191"/>
      <c r="U662" s="77"/>
      <c r="V662" s="78"/>
      <c r="W662" s="77"/>
      <c r="X662" s="3192"/>
    </row>
    <row r="663" spans="1:24" s="2765" customFormat="1">
      <c r="A663" s="2769" t="s">
        <v>17</v>
      </c>
      <c r="B663" s="2862">
        <v>0</v>
      </c>
      <c r="C663" s="3101"/>
      <c r="D663" s="2864">
        <v>0</v>
      </c>
      <c r="E663" s="2863"/>
      <c r="F663" s="2864">
        <v>0</v>
      </c>
      <c r="G663" s="2863"/>
      <c r="H663" s="2864">
        <v>0</v>
      </c>
      <c r="I663" s="2863"/>
      <c r="J663" s="2864">
        <v>0</v>
      </c>
      <c r="K663" s="2861"/>
      <c r="L663" s="2865">
        <v>0</v>
      </c>
      <c r="M663" s="2861"/>
      <c r="N663" s="2864">
        <v>0</v>
      </c>
      <c r="O663" s="2861"/>
      <c r="P663" s="3023">
        <v>0</v>
      </c>
      <c r="Q663" s="3088"/>
      <c r="R663" s="3025">
        <v>0</v>
      </c>
      <c r="S663" s="2620"/>
      <c r="T663" s="3191"/>
      <c r="U663" s="77"/>
      <c r="V663" s="78"/>
      <c r="W663" s="77"/>
      <c r="X663" s="3192"/>
    </row>
    <row r="664" spans="1:24" s="2765" customFormat="1">
      <c r="A664" s="2769" t="s">
        <v>154</v>
      </c>
      <c r="B664" s="2862">
        <v>0</v>
      </c>
      <c r="C664" s="3101"/>
      <c r="D664" s="2864">
        <v>0</v>
      </c>
      <c r="E664" s="2863"/>
      <c r="F664" s="2864">
        <v>0</v>
      </c>
      <c r="G664" s="2863"/>
      <c r="H664" s="2864">
        <v>0</v>
      </c>
      <c r="I664" s="2863"/>
      <c r="J664" s="2864">
        <v>0</v>
      </c>
      <c r="K664" s="2861"/>
      <c r="L664" s="2865">
        <v>0</v>
      </c>
      <c r="M664" s="2861"/>
      <c r="N664" s="2864">
        <v>0</v>
      </c>
      <c r="O664" s="2861"/>
      <c r="P664" s="3023">
        <v>0</v>
      </c>
      <c r="Q664" s="3088"/>
      <c r="R664" s="3025">
        <v>0</v>
      </c>
      <c r="S664" s="2620"/>
      <c r="T664" s="3191"/>
      <c r="U664" s="77"/>
      <c r="V664" s="78"/>
      <c r="W664" s="77"/>
      <c r="X664" s="3192"/>
    </row>
    <row r="665" spans="1:24" s="2765" customFormat="1">
      <c r="A665" s="2822" t="s">
        <v>22</v>
      </c>
      <c r="B665" s="2616">
        <f>SUM(B666:B668)</f>
        <v>0</v>
      </c>
      <c r="C665" s="3065"/>
      <c r="D665" s="2618">
        <f>SUM(D666:D668)</f>
        <v>0</v>
      </c>
      <c r="E665" s="2617"/>
      <c r="F665" s="2618">
        <f>SUM(F666:F668)</f>
        <v>0</v>
      </c>
      <c r="G665" s="2617"/>
      <c r="H665" s="2618">
        <f>SUM(H666:H668)</f>
        <v>0</v>
      </c>
      <c r="I665" s="2617"/>
      <c r="J665" s="2618">
        <f>SUM(J666:J668)</f>
        <v>0</v>
      </c>
      <c r="K665" s="2617"/>
      <c r="L665" s="2618">
        <f>SUM(L666:L668)</f>
        <v>0</v>
      </c>
      <c r="M665" s="2617"/>
      <c r="N665" s="1870">
        <f>SUM(N666:N668)</f>
        <v>0</v>
      </c>
      <c r="O665" s="2617"/>
      <c r="P665" s="1938">
        <f>SUM(P666:P668)</f>
        <v>0</v>
      </c>
      <c r="Q665" s="3084"/>
      <c r="R665" s="1940">
        <f>SUM(R666:R668)</f>
        <v>0</v>
      </c>
      <c r="S665" s="2620"/>
      <c r="T665" s="3197">
        <v>0</v>
      </c>
      <c r="U665" s="1480"/>
      <c r="V665" s="1479">
        <v>0</v>
      </c>
      <c r="W665" s="1480"/>
      <c r="X665" s="3198">
        <v>0</v>
      </c>
    </row>
    <row r="666" spans="1:24" s="2765" customFormat="1">
      <c r="A666" s="2769" t="s">
        <v>20</v>
      </c>
      <c r="B666" s="2867">
        <v>0</v>
      </c>
      <c r="C666" s="3101"/>
      <c r="D666" s="2869">
        <v>0</v>
      </c>
      <c r="E666" s="2868"/>
      <c r="F666" s="2869">
        <v>0</v>
      </c>
      <c r="G666" s="2868"/>
      <c r="H666" s="2869">
        <v>0</v>
      </c>
      <c r="I666" s="2868"/>
      <c r="J666" s="2869">
        <v>0</v>
      </c>
      <c r="K666" s="2866"/>
      <c r="L666" s="2870">
        <v>0</v>
      </c>
      <c r="M666" s="2866"/>
      <c r="N666" s="2869">
        <v>0</v>
      </c>
      <c r="O666" s="2866"/>
      <c r="P666" s="3023">
        <v>0</v>
      </c>
      <c r="Q666" s="3088"/>
      <c r="R666" s="3025">
        <v>0</v>
      </c>
      <c r="S666" s="2620"/>
      <c r="T666" s="3191"/>
      <c r="U666" s="77"/>
      <c r="V666" s="78"/>
      <c r="W666" s="77"/>
      <c r="X666" s="3192"/>
    </row>
    <row r="667" spans="1:24" s="2765" customFormat="1">
      <c r="A667" s="2769" t="s">
        <v>17</v>
      </c>
      <c r="B667" s="2867">
        <v>0</v>
      </c>
      <c r="C667" s="3101"/>
      <c r="D667" s="2869">
        <v>0</v>
      </c>
      <c r="E667" s="2868"/>
      <c r="F667" s="2869">
        <v>0</v>
      </c>
      <c r="G667" s="2868"/>
      <c r="H667" s="2869">
        <v>0</v>
      </c>
      <c r="I667" s="2868"/>
      <c r="J667" s="2869">
        <v>0</v>
      </c>
      <c r="K667" s="2866"/>
      <c r="L667" s="2870">
        <v>0</v>
      </c>
      <c r="M667" s="2866"/>
      <c r="N667" s="2869">
        <v>0</v>
      </c>
      <c r="O667" s="2866"/>
      <c r="P667" s="3023">
        <v>0</v>
      </c>
      <c r="Q667" s="3088"/>
      <c r="R667" s="3025">
        <v>0</v>
      </c>
      <c r="S667" s="2620"/>
      <c r="T667" s="3191"/>
      <c r="U667" s="77"/>
      <c r="V667" s="78"/>
      <c r="W667" s="77"/>
      <c r="X667" s="3192"/>
    </row>
    <row r="668" spans="1:24" s="2765" customFormat="1" ht="13.8" thickBot="1">
      <c r="A668" s="1641" t="s">
        <v>154</v>
      </c>
      <c r="B668" s="2849">
        <v>0</v>
      </c>
      <c r="C668" s="3107"/>
      <c r="D668" s="2881">
        <v>0</v>
      </c>
      <c r="E668" s="2876"/>
      <c r="F668" s="2881">
        <v>0</v>
      </c>
      <c r="G668" s="2876"/>
      <c r="H668" s="2881">
        <v>0</v>
      </c>
      <c r="I668" s="2876"/>
      <c r="J668" s="2881">
        <v>0</v>
      </c>
      <c r="K668" s="2872"/>
      <c r="L668" s="2846">
        <v>0</v>
      </c>
      <c r="M668" s="2872"/>
      <c r="N668" s="2881">
        <v>0</v>
      </c>
      <c r="O668" s="2872"/>
      <c r="P668" s="3026">
        <v>0</v>
      </c>
      <c r="Q668" s="3089"/>
      <c r="R668" s="3027">
        <v>0</v>
      </c>
      <c r="S668" s="2622"/>
      <c r="T668" s="3193"/>
      <c r="U668" s="3194"/>
      <c r="V668" s="3195"/>
      <c r="W668" s="3194"/>
      <c r="X668" s="3196"/>
    </row>
    <row r="669" spans="1:24" s="2765" customFormat="1">
      <c r="A669" s="2824" t="s">
        <v>23</v>
      </c>
      <c r="B669" s="123">
        <f>B657+B661+B665</f>
        <v>108745</v>
      </c>
      <c r="C669" s="124"/>
      <c r="D669" s="1869">
        <f>D657+D661+D665</f>
        <v>118114</v>
      </c>
      <c r="E669" s="124"/>
      <c r="F669" s="1869">
        <f>F657+F661+F665</f>
        <v>135695</v>
      </c>
      <c r="G669" s="124"/>
      <c r="H669" s="1869">
        <f>H657+H661+H665</f>
        <v>166818</v>
      </c>
      <c r="I669" s="124"/>
      <c r="J669" s="1869">
        <f>J657+J661+J665</f>
        <v>174707</v>
      </c>
      <c r="K669" s="124"/>
      <c r="L669" s="1869">
        <f>L657+L661+L665</f>
        <v>176769</v>
      </c>
      <c r="M669" s="124"/>
      <c r="N669" s="1869">
        <f>N657+N661+N665</f>
        <v>180834.68700000001</v>
      </c>
      <c r="O669" s="124"/>
      <c r="P669" s="2618">
        <f>P657+P661+P665</f>
        <v>184993.88480099998</v>
      </c>
      <c r="Q669" s="124"/>
      <c r="R669" s="122">
        <f>R657+R661+R665</f>
        <v>189248.74415142302</v>
      </c>
      <c r="S669" s="124"/>
      <c r="T669" s="3197">
        <f t="shared" ref="T669" si="689">(((N669/B669)^(1/6)-1))</f>
        <v>8.8458997045807619E-2</v>
      </c>
      <c r="U669" s="1480"/>
      <c r="V669" s="1479">
        <f t="shared" si="687"/>
        <v>2.299999999999985E-2</v>
      </c>
      <c r="W669" s="1480"/>
      <c r="X669" s="3198">
        <f t="shared" si="688"/>
        <v>2.3000000000000204E-2</v>
      </c>
    </row>
    <row r="670" spans="1:24" s="2765" customFormat="1" ht="8.25" customHeight="1" thickBot="1">
      <c r="A670" s="2823"/>
      <c r="B670" s="126"/>
      <c r="C670" s="3068"/>
      <c r="D670" s="2620"/>
      <c r="E670" s="2620"/>
      <c r="F670" s="2620"/>
      <c r="G670" s="2620"/>
      <c r="H670" s="2620"/>
      <c r="I670" s="2620"/>
      <c r="J670" s="2620"/>
      <c r="K670" s="2620"/>
      <c r="L670" s="2620"/>
      <c r="M670" s="2620"/>
      <c r="N670" s="2620"/>
      <c r="O670" s="2620"/>
      <c r="P670" s="2617"/>
      <c r="Q670" s="2620"/>
      <c r="R670" s="127"/>
      <c r="S670" s="2620"/>
      <c r="T670" s="84"/>
      <c r="U670" s="34"/>
      <c r="V670" s="34"/>
      <c r="W670" s="34"/>
      <c r="X670" s="42"/>
    </row>
    <row r="671" spans="1:24" s="2765" customFormat="1">
      <c r="A671" s="2793" t="s">
        <v>24</v>
      </c>
      <c r="B671" s="115"/>
      <c r="C671" s="3073"/>
      <c r="D671" s="116"/>
      <c r="E671" s="2623"/>
      <c r="F671" s="116"/>
      <c r="G671" s="2623"/>
      <c r="H671" s="117"/>
      <c r="I671" s="2623"/>
      <c r="J671" s="117"/>
      <c r="K671" s="2623"/>
      <c r="L671" s="117"/>
      <c r="M671" s="2623"/>
      <c r="N671" s="2491"/>
      <c r="O671" s="2623"/>
      <c r="P671" s="118"/>
      <c r="Q671" s="2623"/>
      <c r="R671" s="119"/>
      <c r="S671" s="2623"/>
      <c r="T671" s="86"/>
      <c r="U671" s="45"/>
      <c r="V671" s="47"/>
      <c r="W671" s="45"/>
      <c r="X671" s="85"/>
    </row>
    <row r="672" spans="1:24" s="2765" customFormat="1">
      <c r="A672" s="2769" t="s">
        <v>19</v>
      </c>
      <c r="B672" s="2616">
        <f>SUM(B673:B675)</f>
        <v>45786.2</v>
      </c>
      <c r="C672" s="3065"/>
      <c r="D672" s="2618">
        <f>SUM(D673:D675)</f>
        <v>49709.9</v>
      </c>
      <c r="E672" s="2617"/>
      <c r="F672" s="2618">
        <f>SUM(F673:F675)</f>
        <v>54707.8</v>
      </c>
      <c r="G672" s="2617"/>
      <c r="H672" s="2618">
        <f>SUM(H673:H675)</f>
        <v>72628.3</v>
      </c>
      <c r="I672" s="2617"/>
      <c r="J672" s="2618">
        <f>SUM(J673:J675)</f>
        <v>76695.799999999988</v>
      </c>
      <c r="K672" s="2617"/>
      <c r="L672" s="2618">
        <f>SUM(L673:L675)</f>
        <v>74700.3</v>
      </c>
      <c r="M672" s="2617"/>
      <c r="N672" s="1870">
        <f>SUM(N673:N675)</f>
        <v>76418.406900000002</v>
      </c>
      <c r="O672" s="2617"/>
      <c r="P672" s="1870">
        <f>SUM(P673:P675)</f>
        <v>78176.030258700004</v>
      </c>
      <c r="Q672" s="2617"/>
      <c r="R672" s="2637">
        <f>SUM(R673:R675)</f>
        <v>79974.078954650118</v>
      </c>
      <c r="S672" s="2617"/>
      <c r="T672" s="3188">
        <f>(((N672/B672)^(1/6)-1))</f>
        <v>8.9123752966219438E-2</v>
      </c>
      <c r="U672" s="25"/>
      <c r="V672" s="3189">
        <f>(P672-N672)/N672</f>
        <v>2.3000000000000031E-2</v>
      </c>
      <c r="W672" s="25"/>
      <c r="X672" s="3190">
        <f>(R672-P672)/P672</f>
        <v>2.300000000000018E-2</v>
      </c>
    </row>
    <row r="673" spans="1:25" s="2765" customFormat="1">
      <c r="A673" s="2769" t="s">
        <v>20</v>
      </c>
      <c r="B673" s="2877">
        <v>45172.7</v>
      </c>
      <c r="C673" s="3115"/>
      <c r="D673" s="2879">
        <v>49089.5</v>
      </c>
      <c r="E673" s="2878"/>
      <c r="F673" s="2879">
        <v>53651.3</v>
      </c>
      <c r="G673" s="2878"/>
      <c r="H673" s="2879">
        <v>71075.600000000006</v>
      </c>
      <c r="I673" s="2878"/>
      <c r="J673" s="2879">
        <v>74975.199999999997</v>
      </c>
      <c r="K673" s="2871"/>
      <c r="L673" s="2879">
        <v>72758.5</v>
      </c>
      <c r="M673" s="2871"/>
      <c r="N673" s="2882">
        <v>74431.945500000002</v>
      </c>
      <c r="O673" s="2871"/>
      <c r="P673" s="2882">
        <v>76143.880246500004</v>
      </c>
      <c r="Q673" s="2871"/>
      <c r="R673" s="2883">
        <v>77895.189492169506</v>
      </c>
      <c r="S673" s="2620"/>
      <c r="T673" s="3191">
        <f t="shared" ref="T673:T675" si="690">(((N673/B673)^(1/6)-1))</f>
        <v>8.6793970304900547E-2</v>
      </c>
      <c r="U673" s="77"/>
      <c r="V673" s="78">
        <f t="shared" ref="V673:V675" si="691">(P673-N673)/N673</f>
        <v>2.3000000000000038E-2</v>
      </c>
      <c r="W673" s="77"/>
      <c r="X673" s="3192">
        <f t="shared" ref="X673:X675" si="692">(R673-P673)/P673</f>
        <v>2.3000000000000013E-2</v>
      </c>
    </row>
    <row r="674" spans="1:25" s="2765" customFormat="1">
      <c r="A674" s="2769" t="s">
        <v>17</v>
      </c>
      <c r="B674" s="2877">
        <v>323.7</v>
      </c>
      <c r="C674" s="3115"/>
      <c r="D674" s="2879">
        <v>370.8</v>
      </c>
      <c r="E674" s="2878"/>
      <c r="F674" s="2879">
        <v>785.6</v>
      </c>
      <c r="G674" s="2878"/>
      <c r="H674" s="2879">
        <v>1102.4000000000001</v>
      </c>
      <c r="I674" s="2878"/>
      <c r="J674" s="2879">
        <v>1185.2</v>
      </c>
      <c r="K674" s="2871"/>
      <c r="L674" s="2879">
        <v>1383.8</v>
      </c>
      <c r="M674" s="2871"/>
      <c r="N674" s="2882">
        <v>1415.6273999999999</v>
      </c>
      <c r="O674" s="2871"/>
      <c r="P674" s="2882">
        <v>1448.1868301999998</v>
      </c>
      <c r="Q674" s="2871"/>
      <c r="R674" s="2883">
        <v>1481.4951272945998</v>
      </c>
      <c r="S674" s="2620"/>
      <c r="T674" s="3191">
        <f t="shared" si="690"/>
        <v>0.27879533534694856</v>
      </c>
      <c r="U674" s="77"/>
      <c r="V674" s="78">
        <f t="shared" si="691"/>
        <v>2.2999999999999968E-2</v>
      </c>
      <c r="W674" s="77"/>
      <c r="X674" s="3192">
        <f t="shared" si="692"/>
        <v>2.3E-2</v>
      </c>
    </row>
    <row r="675" spans="1:25" s="2765" customFormat="1">
      <c r="A675" s="2769" t="s">
        <v>154</v>
      </c>
      <c r="B675" s="2877">
        <v>289.8</v>
      </c>
      <c r="C675" s="3115"/>
      <c r="D675" s="2879">
        <v>249.6</v>
      </c>
      <c r="E675" s="2878"/>
      <c r="F675" s="2879">
        <v>270.89999999999998</v>
      </c>
      <c r="G675" s="2878"/>
      <c r="H675" s="2879">
        <v>450.3</v>
      </c>
      <c r="I675" s="2878"/>
      <c r="J675" s="2879">
        <v>535.4</v>
      </c>
      <c r="K675" s="2871"/>
      <c r="L675" s="2879">
        <v>558</v>
      </c>
      <c r="M675" s="2871"/>
      <c r="N675" s="2882">
        <v>570.83399999999995</v>
      </c>
      <c r="O675" s="2871"/>
      <c r="P675" s="2882">
        <v>583.96318199999996</v>
      </c>
      <c r="Q675" s="2871"/>
      <c r="R675" s="2883">
        <v>597.39433518599992</v>
      </c>
      <c r="S675" s="2620"/>
      <c r="T675" s="3191">
        <f t="shared" si="690"/>
        <v>0.11961465706116536</v>
      </c>
      <c r="U675" s="77"/>
      <c r="V675" s="78">
        <f t="shared" si="691"/>
        <v>2.3000000000000027E-2</v>
      </c>
      <c r="W675" s="77"/>
      <c r="X675" s="3192">
        <f t="shared" si="692"/>
        <v>2.2999999999999934E-2</v>
      </c>
    </row>
    <row r="676" spans="1:25" s="2765" customFormat="1">
      <c r="A676" s="2769" t="s">
        <v>21</v>
      </c>
      <c r="B676" s="2616">
        <f>SUM(B677:B679)</f>
        <v>0</v>
      </c>
      <c r="C676" s="3065"/>
      <c r="D676" s="2618">
        <f>SUM(D677:D679)</f>
        <v>0</v>
      </c>
      <c r="E676" s="2617"/>
      <c r="F676" s="2618">
        <f>SUM(F677:F679)</f>
        <v>0</v>
      </c>
      <c r="G676" s="2617"/>
      <c r="H676" s="2618">
        <f>SUM(H677:H679)</f>
        <v>0</v>
      </c>
      <c r="I676" s="2617"/>
      <c r="J676" s="2618">
        <f>SUM(J677:J679)</f>
        <v>0</v>
      </c>
      <c r="K676" s="2617"/>
      <c r="L676" s="2618">
        <f>SUM(L677:L679)</f>
        <v>0</v>
      </c>
      <c r="M676" s="2617"/>
      <c r="N676" s="1870">
        <f>SUM(N677:N679)</f>
        <v>0</v>
      </c>
      <c r="O676" s="2617"/>
      <c r="P676" s="1870">
        <f>SUM(P677:P679)</f>
        <v>0</v>
      </c>
      <c r="Q676" s="2617"/>
      <c r="R676" s="2637">
        <f>SUM(R677:R679)</f>
        <v>0</v>
      </c>
      <c r="S676" s="2620"/>
      <c r="T676" s="3197">
        <v>0</v>
      </c>
      <c r="U676" s="1480"/>
      <c r="V676" s="1479">
        <v>0</v>
      </c>
      <c r="W676" s="1480"/>
      <c r="X676" s="3198">
        <v>0</v>
      </c>
    </row>
    <row r="677" spans="1:25" s="2765" customFormat="1">
      <c r="A677" s="2769" t="s">
        <v>20</v>
      </c>
      <c r="B677" s="2873">
        <v>0</v>
      </c>
      <c r="C677" s="3101"/>
      <c r="D677" s="2875">
        <v>0</v>
      </c>
      <c r="E677" s="2874"/>
      <c r="F677" s="2875">
        <v>0</v>
      </c>
      <c r="G677" s="2874"/>
      <c r="H677" s="2875">
        <v>0</v>
      </c>
      <c r="I677" s="2874"/>
      <c r="J677" s="2875">
        <v>0</v>
      </c>
      <c r="K677" s="2871"/>
      <c r="L677" s="2880">
        <v>0</v>
      </c>
      <c r="M677" s="2871"/>
      <c r="N677" s="2875">
        <v>0</v>
      </c>
      <c r="O677" s="2871"/>
      <c r="P677" s="3023">
        <v>0</v>
      </c>
      <c r="Q677" s="3088"/>
      <c r="R677" s="3025">
        <v>0</v>
      </c>
      <c r="S677" s="2620"/>
      <c r="T677" s="3191"/>
      <c r="U677" s="77"/>
      <c r="V677" s="78"/>
      <c r="W677" s="77"/>
      <c r="X677" s="3192"/>
    </row>
    <row r="678" spans="1:25" s="2765" customFormat="1">
      <c r="A678" s="2769" t="s">
        <v>17</v>
      </c>
      <c r="B678" s="2873">
        <v>0</v>
      </c>
      <c r="C678" s="3101"/>
      <c r="D678" s="2875">
        <v>0</v>
      </c>
      <c r="E678" s="2874"/>
      <c r="F678" s="2875">
        <v>0</v>
      </c>
      <c r="G678" s="2874"/>
      <c r="H678" s="2875">
        <v>0</v>
      </c>
      <c r="I678" s="2874"/>
      <c r="J678" s="2875">
        <v>0</v>
      </c>
      <c r="K678" s="2871"/>
      <c r="L678" s="2880">
        <v>0</v>
      </c>
      <c r="M678" s="2871"/>
      <c r="N678" s="2875">
        <v>0</v>
      </c>
      <c r="O678" s="2871"/>
      <c r="P678" s="3023">
        <v>0</v>
      </c>
      <c r="Q678" s="3088"/>
      <c r="R678" s="3025">
        <v>0</v>
      </c>
      <c r="S678" s="2620"/>
      <c r="T678" s="3191"/>
      <c r="U678" s="77"/>
      <c r="V678" s="78"/>
      <c r="W678" s="77"/>
      <c r="X678" s="3192"/>
    </row>
    <row r="679" spans="1:25" s="2765" customFormat="1">
      <c r="A679" s="2769" t="s">
        <v>154</v>
      </c>
      <c r="B679" s="2873">
        <v>0</v>
      </c>
      <c r="C679" s="3101"/>
      <c r="D679" s="2875">
        <v>0</v>
      </c>
      <c r="E679" s="2874"/>
      <c r="F679" s="2875">
        <v>0</v>
      </c>
      <c r="G679" s="2874"/>
      <c r="H679" s="2875">
        <v>0</v>
      </c>
      <c r="I679" s="2874"/>
      <c r="J679" s="2875">
        <v>0</v>
      </c>
      <c r="K679" s="2871"/>
      <c r="L679" s="2880">
        <v>0</v>
      </c>
      <c r="M679" s="2871"/>
      <c r="N679" s="2875">
        <v>0</v>
      </c>
      <c r="O679" s="2871"/>
      <c r="P679" s="3023">
        <v>0</v>
      </c>
      <c r="Q679" s="3088"/>
      <c r="R679" s="3025">
        <v>0</v>
      </c>
      <c r="S679" s="2620"/>
      <c r="T679" s="3191"/>
      <c r="U679" s="77"/>
      <c r="V679" s="78"/>
      <c r="W679" s="77"/>
      <c r="X679" s="3192"/>
    </row>
    <row r="680" spans="1:25" s="2765" customFormat="1">
      <c r="A680" s="2822" t="s">
        <v>22</v>
      </c>
      <c r="B680" s="2616">
        <f>SUM(B681:B683)</f>
        <v>0</v>
      </c>
      <c r="C680" s="3065"/>
      <c r="D680" s="2618">
        <f>SUM(D681:D683)</f>
        <v>0</v>
      </c>
      <c r="E680" s="2617"/>
      <c r="F680" s="2618">
        <f>SUM(F681:F683)</f>
        <v>0</v>
      </c>
      <c r="G680" s="2617"/>
      <c r="H680" s="2618">
        <f>SUM(H681:H683)</f>
        <v>0</v>
      </c>
      <c r="I680" s="2617"/>
      <c r="J680" s="2618">
        <f>SUM(J681:J683)</f>
        <v>0</v>
      </c>
      <c r="K680" s="2617"/>
      <c r="L680" s="2618">
        <f>SUM(L681:L683)</f>
        <v>0</v>
      </c>
      <c r="M680" s="2617"/>
      <c r="N680" s="1870">
        <f>SUM(N681:N683)</f>
        <v>0</v>
      </c>
      <c r="O680" s="2617"/>
      <c r="P680" s="1938">
        <f>SUM(P681:P683)</f>
        <v>0</v>
      </c>
      <c r="Q680" s="3084"/>
      <c r="R680" s="1940">
        <f>SUM(R681:R683)</f>
        <v>0</v>
      </c>
      <c r="S680" s="2620"/>
      <c r="T680" s="3197">
        <v>0</v>
      </c>
      <c r="U680" s="1480"/>
      <c r="V680" s="1479">
        <v>0</v>
      </c>
      <c r="W680" s="1480"/>
      <c r="X680" s="3198">
        <v>0</v>
      </c>
    </row>
    <row r="681" spans="1:25" s="2765" customFormat="1">
      <c r="A681" s="2769" t="s">
        <v>20</v>
      </c>
      <c r="B681" s="2873">
        <v>0</v>
      </c>
      <c r="C681" s="3101"/>
      <c r="D681" s="2875">
        <v>0</v>
      </c>
      <c r="E681" s="2874"/>
      <c r="F681" s="2875">
        <v>0</v>
      </c>
      <c r="G681" s="2874"/>
      <c r="H681" s="2875">
        <v>0</v>
      </c>
      <c r="I681" s="2874"/>
      <c r="J681" s="2875">
        <v>0</v>
      </c>
      <c r="K681" s="2871"/>
      <c r="L681" s="2880">
        <v>0</v>
      </c>
      <c r="M681" s="2871"/>
      <c r="N681" s="2875">
        <v>0</v>
      </c>
      <c r="O681" s="2871"/>
      <c r="P681" s="3023">
        <v>0</v>
      </c>
      <c r="Q681" s="3088"/>
      <c r="R681" s="3025">
        <v>0</v>
      </c>
      <c r="S681" s="2620"/>
      <c r="T681" s="3191"/>
      <c r="U681" s="77"/>
      <c r="V681" s="78"/>
      <c r="W681" s="77"/>
      <c r="X681" s="3192"/>
    </row>
    <row r="682" spans="1:25" s="2765" customFormat="1">
      <c r="A682" s="2769" t="s">
        <v>17</v>
      </c>
      <c r="B682" s="2873">
        <v>0</v>
      </c>
      <c r="C682" s="3101"/>
      <c r="D682" s="2875">
        <v>0</v>
      </c>
      <c r="E682" s="2874"/>
      <c r="F682" s="2875">
        <v>0</v>
      </c>
      <c r="G682" s="2874"/>
      <c r="H682" s="2875">
        <v>0</v>
      </c>
      <c r="I682" s="2874"/>
      <c r="J682" s="2875">
        <v>0</v>
      </c>
      <c r="K682" s="2871"/>
      <c r="L682" s="2880">
        <v>0</v>
      </c>
      <c r="M682" s="2871"/>
      <c r="N682" s="2875">
        <v>0</v>
      </c>
      <c r="O682" s="2871"/>
      <c r="P682" s="3023">
        <v>0</v>
      </c>
      <c r="Q682" s="3088"/>
      <c r="R682" s="3025">
        <v>0</v>
      </c>
      <c r="S682" s="2620"/>
      <c r="T682" s="3191"/>
      <c r="U682" s="77"/>
      <c r="V682" s="78"/>
      <c r="W682" s="77"/>
      <c r="X682" s="3192"/>
    </row>
    <row r="683" spans="1:25" s="2765" customFormat="1" ht="13.8" thickBot="1">
      <c r="A683" s="2479" t="s">
        <v>154</v>
      </c>
      <c r="B683" s="2849">
        <v>0</v>
      </c>
      <c r="C683" s="3107"/>
      <c r="D683" s="2881">
        <v>0</v>
      </c>
      <c r="E683" s="2876"/>
      <c r="F683" s="2881">
        <v>0</v>
      </c>
      <c r="G683" s="2876"/>
      <c r="H683" s="2881">
        <v>0</v>
      </c>
      <c r="I683" s="2876"/>
      <c r="J683" s="2881">
        <v>0</v>
      </c>
      <c r="K683" s="2872"/>
      <c r="L683" s="2846">
        <v>0</v>
      </c>
      <c r="M683" s="2872"/>
      <c r="N683" s="2881">
        <v>0</v>
      </c>
      <c r="O683" s="2872"/>
      <c r="P683" s="3026">
        <v>0</v>
      </c>
      <c r="Q683" s="3089"/>
      <c r="R683" s="3027">
        <v>0</v>
      </c>
      <c r="S683" s="2622"/>
      <c r="T683" s="3193"/>
      <c r="U683" s="3194"/>
      <c r="V683" s="3195"/>
      <c r="W683" s="3194"/>
      <c r="X683" s="3196"/>
    </row>
    <row r="684" spans="1:25" s="2765" customFormat="1" ht="13.8" thickTop="1">
      <c r="A684" s="2824" t="s">
        <v>25</v>
      </c>
      <c r="B684" s="123">
        <f>B672+B676+B680</f>
        <v>45786.2</v>
      </c>
      <c r="C684" s="124"/>
      <c r="D684" s="1869">
        <f>D672+D676+D680</f>
        <v>49709.9</v>
      </c>
      <c r="E684" s="124"/>
      <c r="F684" s="1869">
        <f>F672+F676+F680</f>
        <v>54707.8</v>
      </c>
      <c r="G684" s="124"/>
      <c r="H684" s="1869">
        <f>H672+H676+H680</f>
        <v>72628.3</v>
      </c>
      <c r="I684" s="124"/>
      <c r="J684" s="1869">
        <f>J672+J676+J680</f>
        <v>76695.799999999988</v>
      </c>
      <c r="K684" s="124"/>
      <c r="L684" s="1869">
        <f>L672+L676+L680</f>
        <v>74700.3</v>
      </c>
      <c r="M684" s="124"/>
      <c r="N684" s="1869">
        <f>N672+N676+N680</f>
        <v>76418.406900000002</v>
      </c>
      <c r="O684" s="124"/>
      <c r="P684" s="2618">
        <f>P672+P676+P680</f>
        <v>78176.030258700004</v>
      </c>
      <c r="Q684" s="124"/>
      <c r="R684" s="122">
        <f>R672+R676+R680</f>
        <v>79974.078954650118</v>
      </c>
      <c r="S684" s="124"/>
      <c r="T684" s="3197">
        <f t="shared" ref="T684" si="693">(((N684/B684)^(1/6)-1))</f>
        <v>8.9123752966219438E-2</v>
      </c>
      <c r="U684" s="1480"/>
      <c r="V684" s="1479">
        <f t="shared" ref="V684" si="694">(P684-N684)/N684</f>
        <v>2.3000000000000031E-2</v>
      </c>
      <c r="W684" s="1480"/>
      <c r="X684" s="3198">
        <f t="shared" ref="X684" si="695">(R684-P684)/P684</f>
        <v>2.300000000000018E-2</v>
      </c>
    </row>
    <row r="685" spans="1:25" s="2765" customFormat="1" ht="8.25" customHeight="1" thickBot="1">
      <c r="A685" s="2823"/>
      <c r="B685" s="126"/>
      <c r="C685" s="3068"/>
      <c r="D685" s="2620"/>
      <c r="E685" s="2620"/>
      <c r="F685" s="2620"/>
      <c r="G685" s="2620"/>
      <c r="H685" s="2620"/>
      <c r="I685" s="2620"/>
      <c r="J685" s="2620"/>
      <c r="K685" s="2620"/>
      <c r="L685" s="2620"/>
      <c r="M685" s="2620"/>
      <c r="N685" s="2620"/>
      <c r="O685" s="2620"/>
      <c r="P685" s="2617"/>
      <c r="Q685" s="2620"/>
      <c r="R685" s="127"/>
      <c r="S685" s="2620"/>
      <c r="T685" s="84"/>
      <c r="U685" s="34"/>
      <c r="V685" s="34"/>
      <c r="W685" s="34"/>
      <c r="X685" s="42"/>
    </row>
    <row r="686" spans="1:25" s="2765" customFormat="1">
      <c r="A686" s="2793" t="s">
        <v>78</v>
      </c>
      <c r="B686" s="2794"/>
      <c r="C686" s="3097"/>
      <c r="D686" s="2795"/>
      <c r="E686" s="2786"/>
      <c r="F686" s="2795"/>
      <c r="G686" s="2786"/>
      <c r="H686" s="2820"/>
      <c r="I686" s="2786"/>
      <c r="J686" s="117">
        <f>J673-J688</f>
        <v>70518</v>
      </c>
      <c r="K686" s="3073"/>
      <c r="L686" s="117">
        <f>L673-L688</f>
        <v>67880.600000000006</v>
      </c>
      <c r="M686" s="3073"/>
      <c r="N686" s="117">
        <f>N673-N688</f>
        <v>69441.853799999997</v>
      </c>
      <c r="O686" s="3073"/>
      <c r="P686" s="117">
        <f>P673-P688</f>
        <v>71039.016437400001</v>
      </c>
      <c r="Q686" s="3073"/>
      <c r="R686" s="117">
        <f>R673-R688</f>
        <v>72672.913815460211</v>
      </c>
      <c r="S686" s="2623"/>
      <c r="T686" s="86"/>
      <c r="U686" s="45"/>
      <c r="V686" s="47"/>
      <c r="W686" s="45"/>
      <c r="X686" s="85"/>
    </row>
    <row r="687" spans="1:25" s="2765" customFormat="1">
      <c r="A687" s="2822" t="s">
        <v>79</v>
      </c>
      <c r="B687" s="2908">
        <v>11210</v>
      </c>
      <c r="C687" s="3119"/>
      <c r="D687" s="2910">
        <v>13049</v>
      </c>
      <c r="E687" s="2909"/>
      <c r="F687" s="2910">
        <v>16768</v>
      </c>
      <c r="G687" s="2909"/>
      <c r="H687" s="2911">
        <v>24194</v>
      </c>
      <c r="I687" s="2909"/>
      <c r="J687" s="2911">
        <v>27000</v>
      </c>
      <c r="K687" s="2892"/>
      <c r="L687" s="2911">
        <v>31010</v>
      </c>
      <c r="M687" s="2892"/>
      <c r="N687" s="2911">
        <v>31723.23</v>
      </c>
      <c r="O687" s="2892"/>
      <c r="P687" s="2911">
        <v>32452.864289999998</v>
      </c>
      <c r="Q687" s="2892"/>
      <c r="R687" s="2917">
        <v>33199.280168669997</v>
      </c>
      <c r="S687" s="2617"/>
      <c r="T687" s="3191">
        <f t="shared" ref="T687:T688" si="696">(((N687/B687)^(1/6)-1))</f>
        <v>0.18931062257600995</v>
      </c>
      <c r="U687" s="77"/>
      <c r="V687" s="78">
        <f t="shared" ref="V687:V688" si="697">(P687-N687)/N687</f>
        <v>2.2999999999999941E-2</v>
      </c>
      <c r="W687" s="77"/>
      <c r="X687" s="3192">
        <f t="shared" ref="X687:X688" si="698">(R687-P687)/P687</f>
        <v>2.2999999999999972E-2</v>
      </c>
    </row>
    <row r="688" spans="1:25" s="2765" customFormat="1" ht="13.8" thickBot="1">
      <c r="A688" s="2825" t="s">
        <v>80</v>
      </c>
      <c r="B688" s="2912">
        <v>2031</v>
      </c>
      <c r="C688" s="3125"/>
      <c r="D688" s="2913">
        <v>2560.4</v>
      </c>
      <c r="E688" s="2914"/>
      <c r="F688" s="2913">
        <v>2616.6999999999998</v>
      </c>
      <c r="G688" s="2914"/>
      <c r="H688" s="2915">
        <v>4309.7</v>
      </c>
      <c r="I688" s="2914"/>
      <c r="J688" s="2915">
        <v>4457.2</v>
      </c>
      <c r="K688" s="2907"/>
      <c r="L688" s="2915">
        <v>4877.8999999999996</v>
      </c>
      <c r="M688" s="2907"/>
      <c r="N688" s="2916">
        <v>4990.0916999999999</v>
      </c>
      <c r="O688" s="2907"/>
      <c r="P688" s="2916">
        <v>5104.8638091000003</v>
      </c>
      <c r="Q688" s="2907"/>
      <c r="R688" s="2918">
        <v>5222.2756767093006</v>
      </c>
      <c r="S688" s="97"/>
      <c r="T688" s="3191">
        <f t="shared" si="696"/>
        <v>0.16162629373687443</v>
      </c>
      <c r="U688" s="77"/>
      <c r="V688" s="78">
        <f t="shared" si="697"/>
        <v>2.3000000000000062E-2</v>
      </c>
      <c r="W688" s="77"/>
      <c r="X688" s="3192">
        <f t="shared" si="698"/>
        <v>2.3000000000000062E-2</v>
      </c>
      <c r="Y688" s="3259"/>
    </row>
    <row r="689" spans="1:24" s="3028" customFormat="1" ht="13.8" thickBot="1">
      <c r="A689" s="111"/>
      <c r="B689" s="112"/>
      <c r="C689" s="112"/>
      <c r="D689" s="112"/>
      <c r="E689" s="112"/>
      <c r="F689" s="113"/>
      <c r="G689" s="112"/>
      <c r="H689" s="112"/>
      <c r="I689" s="112"/>
      <c r="J689" s="112"/>
      <c r="K689" s="112"/>
      <c r="L689" s="112"/>
      <c r="M689" s="112"/>
      <c r="N689" s="112"/>
      <c r="O689" s="112"/>
      <c r="P689" s="112"/>
      <c r="Q689" s="112"/>
      <c r="R689" s="112"/>
      <c r="S689" s="112"/>
      <c r="T689" s="112"/>
      <c r="U689" s="112"/>
      <c r="V689" s="112"/>
      <c r="W689" s="112"/>
      <c r="X689" s="112"/>
    </row>
    <row r="690" spans="1:24" s="3029" customFormat="1">
      <c r="A690" s="114" t="s">
        <v>256</v>
      </c>
      <c r="B690" s="3038" t="s">
        <v>13</v>
      </c>
      <c r="C690" s="3051"/>
      <c r="D690" s="3040" t="s">
        <v>13</v>
      </c>
      <c r="E690" s="3051"/>
      <c r="F690" s="3050" t="s">
        <v>13</v>
      </c>
      <c r="G690" s="3051"/>
      <c r="H690" s="3050" t="s">
        <v>13</v>
      </c>
      <c r="I690" s="3051"/>
      <c r="J690" s="3050" t="s">
        <v>13</v>
      </c>
      <c r="K690" s="3051"/>
      <c r="L690" s="3041" t="s">
        <v>14</v>
      </c>
      <c r="M690" s="3051"/>
      <c r="N690" s="3041" t="s">
        <v>15</v>
      </c>
      <c r="O690" s="3051"/>
      <c r="P690" s="3042" t="s">
        <v>16</v>
      </c>
      <c r="Q690" s="3051"/>
      <c r="R690" s="3044" t="s">
        <v>16</v>
      </c>
      <c r="S690" s="3051"/>
      <c r="T690" s="3077" t="s">
        <v>62</v>
      </c>
      <c r="U690" s="3039"/>
      <c r="V690" s="3081" t="s">
        <v>75</v>
      </c>
      <c r="W690" s="3039"/>
      <c r="X690" s="3079" t="s">
        <v>75</v>
      </c>
    </row>
    <row r="691" spans="1:24" s="3029" customFormat="1" ht="13.8" thickBot="1">
      <c r="A691" s="3052"/>
      <c r="B691" s="3037" t="s">
        <v>3</v>
      </c>
      <c r="C691" s="3053"/>
      <c r="D691" s="3030" t="s">
        <v>4</v>
      </c>
      <c r="E691" s="3053"/>
      <c r="F691" s="3031" t="s">
        <v>5</v>
      </c>
      <c r="G691" s="3053"/>
      <c r="H691" s="3032" t="s">
        <v>6</v>
      </c>
      <c r="I691" s="3053"/>
      <c r="J691" s="3032" t="s">
        <v>7</v>
      </c>
      <c r="K691" s="3053"/>
      <c r="L691" s="3032" t="s">
        <v>8</v>
      </c>
      <c r="M691" s="3053"/>
      <c r="N691" s="3032" t="s">
        <v>9</v>
      </c>
      <c r="O691" s="3053"/>
      <c r="P691" s="3043" t="s">
        <v>10</v>
      </c>
      <c r="Q691" s="3053"/>
      <c r="R691" s="3045" t="s">
        <v>11</v>
      </c>
      <c r="S691" s="3053"/>
      <c r="T691" s="3078" t="s">
        <v>63</v>
      </c>
      <c r="U691" s="3033"/>
      <c r="V691" s="3075" t="s">
        <v>76</v>
      </c>
      <c r="W691" s="3033"/>
      <c r="X691" s="3080" t="s">
        <v>77</v>
      </c>
    </row>
    <row r="692" spans="1:24" s="3028" customFormat="1">
      <c r="A692" s="3095" t="s">
        <v>81</v>
      </c>
      <c r="B692" s="115"/>
      <c r="C692" s="3073"/>
      <c r="D692" s="116"/>
      <c r="E692" s="3073"/>
      <c r="F692" s="116"/>
      <c r="G692" s="3073"/>
      <c r="H692" s="117"/>
      <c r="I692" s="3073"/>
      <c r="J692" s="117"/>
      <c r="K692" s="3073"/>
      <c r="L692" s="117"/>
      <c r="M692" s="3073"/>
      <c r="N692" s="117"/>
      <c r="O692" s="3073"/>
      <c r="P692" s="118"/>
      <c r="Q692" s="3073"/>
      <c r="R692" s="119"/>
      <c r="S692" s="3073"/>
      <c r="T692" s="120"/>
      <c r="U692" s="3073"/>
      <c r="V692" s="117"/>
      <c r="W692" s="3073"/>
      <c r="X692" s="121"/>
    </row>
    <row r="693" spans="1:24" s="3028" customFormat="1">
      <c r="A693" s="3099" t="s">
        <v>19</v>
      </c>
      <c r="B693" s="3064">
        <f>SUM(B694:B696)</f>
        <v>16333</v>
      </c>
      <c r="C693" s="3065"/>
      <c r="D693" s="3066">
        <f>SUM(D694:D696)</f>
        <v>17110</v>
      </c>
      <c r="E693" s="3065"/>
      <c r="F693" s="3066">
        <f>SUM(F694:F696)</f>
        <v>20429</v>
      </c>
      <c r="G693" s="3065"/>
      <c r="H693" s="3066">
        <f>SUM(H694:H696)</f>
        <v>23108</v>
      </c>
      <c r="I693" s="3065"/>
      <c r="J693" s="3066">
        <f>SUM(J694:J696)</f>
        <v>23014</v>
      </c>
      <c r="K693" s="3065"/>
      <c r="L693" s="3066">
        <f>SUM(L694:L696)</f>
        <v>23709.569325735993</v>
      </c>
      <c r="M693" s="3065"/>
      <c r="N693" s="3066">
        <f>SUM(N694:N696)</f>
        <v>21812.803779677117</v>
      </c>
      <c r="O693" s="3065"/>
      <c r="P693" s="3066">
        <f>SUM(P694:P696)</f>
        <v>21812.803779677117</v>
      </c>
      <c r="Q693" s="3065"/>
      <c r="R693" s="122">
        <f>SUM(R694:R696)</f>
        <v>21812.803779677117</v>
      </c>
      <c r="S693" s="3065"/>
      <c r="T693" s="3188">
        <f>(((N693/B693)^(1/6)-1))</f>
        <v>4.9399666296766176E-2</v>
      </c>
      <c r="U693" s="25"/>
      <c r="V693" s="3189">
        <f>(P693-N693)/N693</f>
        <v>0</v>
      </c>
      <c r="W693" s="25"/>
      <c r="X693" s="3190">
        <f>(R693-P693)/P693</f>
        <v>0</v>
      </c>
    </row>
    <row r="694" spans="1:24" s="3028" customFormat="1">
      <c r="A694" s="3099" t="s">
        <v>20</v>
      </c>
      <c r="B694" s="3100">
        <v>12723</v>
      </c>
      <c r="C694" s="3101"/>
      <c r="D694" s="3102">
        <v>12925</v>
      </c>
      <c r="E694" s="3101"/>
      <c r="F694" s="3102">
        <v>15727</v>
      </c>
      <c r="G694" s="3101"/>
      <c r="H694" s="3102">
        <v>18484</v>
      </c>
      <c r="I694" s="3101"/>
      <c r="J694" s="3102">
        <v>18985</v>
      </c>
      <c r="K694" s="3103"/>
      <c r="L694" s="3102">
        <v>19547.927350427351</v>
      </c>
      <c r="M694" s="3103"/>
      <c r="N694" s="3102">
        <v>17984.093162393165</v>
      </c>
      <c r="O694" s="3103"/>
      <c r="P694" s="3104">
        <v>17984.093162393165</v>
      </c>
      <c r="Q694" s="3103"/>
      <c r="R694" s="2821">
        <v>17984.093162393165</v>
      </c>
      <c r="S694" s="3068"/>
      <c r="T694" s="3191">
        <f t="shared" ref="T694:T695" si="699">(((N694/B694)^(1/6)-1))</f>
        <v>5.9375283437663517E-2</v>
      </c>
      <c r="U694" s="77"/>
      <c r="V694" s="78">
        <f t="shared" ref="V694:V705" si="700">(P694-N694)/N694</f>
        <v>0</v>
      </c>
      <c r="W694" s="77"/>
      <c r="X694" s="3192">
        <f t="shared" ref="X694:X705" si="701">(R694-P694)/P694</f>
        <v>0</v>
      </c>
    </row>
    <row r="695" spans="1:24" s="3028" customFormat="1">
      <c r="A695" s="3099" t="s">
        <v>17</v>
      </c>
      <c r="B695" s="3100">
        <v>3610</v>
      </c>
      <c r="C695" s="3101"/>
      <c r="D695" s="3102">
        <v>4185</v>
      </c>
      <c r="E695" s="3101"/>
      <c r="F695" s="3102">
        <v>4702</v>
      </c>
      <c r="G695" s="3101"/>
      <c r="H695" s="3102">
        <v>4624</v>
      </c>
      <c r="I695" s="3101"/>
      <c r="J695" s="3102">
        <v>4029</v>
      </c>
      <c r="K695" s="3103"/>
      <c r="L695" s="3102">
        <v>4161.641975308642</v>
      </c>
      <c r="M695" s="3103"/>
      <c r="N695" s="3102">
        <v>3828.7106172839508</v>
      </c>
      <c r="O695" s="3103"/>
      <c r="P695" s="3104">
        <v>3828.7106172839508</v>
      </c>
      <c r="Q695" s="3103"/>
      <c r="R695" s="2821">
        <v>3828.7106172839508</v>
      </c>
      <c r="S695" s="3068"/>
      <c r="T695" s="3191">
        <f t="shared" si="699"/>
        <v>9.8515973959703018E-3</v>
      </c>
      <c r="U695" s="77"/>
      <c r="V695" s="78">
        <f t="shared" si="700"/>
        <v>0</v>
      </c>
      <c r="W695" s="77"/>
      <c r="X695" s="3192">
        <f t="shared" si="701"/>
        <v>0</v>
      </c>
    </row>
    <row r="696" spans="1:24" s="3028" customFormat="1">
      <c r="A696" s="3099" t="s">
        <v>154</v>
      </c>
      <c r="B696" s="3100">
        <v>0</v>
      </c>
      <c r="C696" s="3101"/>
      <c r="D696" s="3102">
        <v>0</v>
      </c>
      <c r="E696" s="3101"/>
      <c r="F696" s="3102">
        <v>0</v>
      </c>
      <c r="G696" s="3101"/>
      <c r="H696" s="3102">
        <v>0</v>
      </c>
      <c r="I696" s="3101"/>
      <c r="J696" s="3102">
        <v>0</v>
      </c>
      <c r="K696" s="3103"/>
      <c r="L696" s="3102">
        <v>0</v>
      </c>
      <c r="M696" s="3103"/>
      <c r="N696" s="3102">
        <v>0</v>
      </c>
      <c r="O696" s="3103"/>
      <c r="P696" s="3102">
        <v>0</v>
      </c>
      <c r="Q696" s="3103"/>
      <c r="R696" s="2821">
        <v>0</v>
      </c>
      <c r="S696" s="3068"/>
      <c r="T696" s="3191"/>
      <c r="U696" s="77"/>
      <c r="V696" s="78"/>
      <c r="W696" s="77"/>
      <c r="X696" s="3192"/>
    </row>
    <row r="697" spans="1:24" s="3028" customFormat="1">
      <c r="A697" s="3099" t="s">
        <v>21</v>
      </c>
      <c r="B697" s="3064">
        <f>SUM(B698:B700)</f>
        <v>0</v>
      </c>
      <c r="C697" s="3065"/>
      <c r="D697" s="3066">
        <f>SUM(D698:D700)</f>
        <v>0</v>
      </c>
      <c r="E697" s="3065"/>
      <c r="F697" s="3066">
        <f>SUM(F698:F700)</f>
        <v>0</v>
      </c>
      <c r="G697" s="3065"/>
      <c r="H697" s="3066">
        <f>SUM(H698:H700)</f>
        <v>0</v>
      </c>
      <c r="I697" s="3065"/>
      <c r="J697" s="3066">
        <f>SUM(J698:J700)</f>
        <v>0</v>
      </c>
      <c r="K697" s="3065"/>
      <c r="L697" s="3066">
        <f>SUM(L698:L700)</f>
        <v>0</v>
      </c>
      <c r="M697" s="3065"/>
      <c r="N697" s="1870">
        <f>SUM(N698:N700)</f>
        <v>0</v>
      </c>
      <c r="O697" s="3065"/>
      <c r="P697" s="1938">
        <f>SUM(P698:P700)</f>
        <v>0</v>
      </c>
      <c r="Q697" s="3084"/>
      <c r="R697" s="1940">
        <f>SUM(R698:R700)</f>
        <v>0</v>
      </c>
      <c r="S697" s="3068"/>
      <c r="T697" s="3197">
        <v>0</v>
      </c>
      <c r="U697" s="1480"/>
      <c r="V697" s="1479">
        <v>0</v>
      </c>
      <c r="W697" s="1480"/>
      <c r="X697" s="3198">
        <v>0</v>
      </c>
    </row>
    <row r="698" spans="1:24" s="3028" customFormat="1">
      <c r="A698" s="3099" t="s">
        <v>20</v>
      </c>
      <c r="B698" s="3100">
        <v>0</v>
      </c>
      <c r="C698" s="3101"/>
      <c r="D698" s="3102">
        <v>0</v>
      </c>
      <c r="E698" s="3101"/>
      <c r="F698" s="3102">
        <v>0</v>
      </c>
      <c r="G698" s="3101"/>
      <c r="H698" s="3102">
        <v>0</v>
      </c>
      <c r="I698" s="3101"/>
      <c r="J698" s="3102">
        <v>0</v>
      </c>
      <c r="K698" s="3103"/>
      <c r="L698" s="3086">
        <v>0</v>
      </c>
      <c r="M698" s="3103"/>
      <c r="N698" s="3102">
        <v>0</v>
      </c>
      <c r="O698" s="3103"/>
      <c r="P698" s="3023">
        <v>0</v>
      </c>
      <c r="Q698" s="3103"/>
      <c r="R698" s="3025">
        <v>0</v>
      </c>
      <c r="S698" s="3068"/>
      <c r="T698" s="3191"/>
      <c r="U698" s="77"/>
      <c r="V698" s="78"/>
      <c r="W698" s="77"/>
      <c r="X698" s="3192"/>
    </row>
    <row r="699" spans="1:24" s="3028" customFormat="1">
      <c r="A699" s="3099" t="s">
        <v>17</v>
      </c>
      <c r="B699" s="3100">
        <v>0</v>
      </c>
      <c r="C699" s="3101"/>
      <c r="D699" s="3102">
        <v>0</v>
      </c>
      <c r="E699" s="3101"/>
      <c r="F699" s="3102">
        <v>0</v>
      </c>
      <c r="G699" s="3101"/>
      <c r="H699" s="3102">
        <v>0</v>
      </c>
      <c r="I699" s="3101"/>
      <c r="J699" s="3102">
        <v>0</v>
      </c>
      <c r="K699" s="3103"/>
      <c r="L699" s="3086">
        <v>0</v>
      </c>
      <c r="M699" s="3103"/>
      <c r="N699" s="3102">
        <v>0</v>
      </c>
      <c r="O699" s="3103"/>
      <c r="P699" s="3023">
        <v>0</v>
      </c>
      <c r="Q699" s="3103"/>
      <c r="R699" s="3025">
        <v>0</v>
      </c>
      <c r="S699" s="3068"/>
      <c r="T699" s="3191"/>
      <c r="U699" s="77"/>
      <c r="V699" s="78"/>
      <c r="W699" s="77"/>
      <c r="X699" s="3192"/>
    </row>
    <row r="700" spans="1:24" s="3028" customFormat="1">
      <c r="A700" s="3099" t="s">
        <v>154</v>
      </c>
      <c r="B700" s="3100">
        <v>0</v>
      </c>
      <c r="C700" s="3101"/>
      <c r="D700" s="3102">
        <v>0</v>
      </c>
      <c r="E700" s="3101"/>
      <c r="F700" s="3102">
        <v>0</v>
      </c>
      <c r="G700" s="3101"/>
      <c r="H700" s="3102">
        <v>0</v>
      </c>
      <c r="I700" s="3101"/>
      <c r="J700" s="3102">
        <v>0</v>
      </c>
      <c r="K700" s="3103"/>
      <c r="L700" s="3086">
        <v>0</v>
      </c>
      <c r="M700" s="3103"/>
      <c r="N700" s="3102">
        <v>0</v>
      </c>
      <c r="O700" s="3103"/>
      <c r="P700" s="3023">
        <v>0</v>
      </c>
      <c r="Q700" s="3103"/>
      <c r="R700" s="3025">
        <v>0</v>
      </c>
      <c r="S700" s="3068"/>
      <c r="T700" s="3191"/>
      <c r="U700" s="77"/>
      <c r="V700" s="78"/>
      <c r="W700" s="77"/>
      <c r="X700" s="3192"/>
    </row>
    <row r="701" spans="1:24" s="3028" customFormat="1">
      <c r="A701" s="3105" t="s">
        <v>22</v>
      </c>
      <c r="B701" s="3064">
        <f>SUM(B702:B704)</f>
        <v>0</v>
      </c>
      <c r="C701" s="3065"/>
      <c r="D701" s="3066">
        <f>SUM(D702:D704)</f>
        <v>0</v>
      </c>
      <c r="E701" s="3065"/>
      <c r="F701" s="3066">
        <f>SUM(F702:F704)</f>
        <v>0</v>
      </c>
      <c r="G701" s="3065"/>
      <c r="H701" s="3066">
        <f>SUM(H702:H704)</f>
        <v>0</v>
      </c>
      <c r="I701" s="3065"/>
      <c r="J701" s="3066">
        <f>SUM(J702:J704)</f>
        <v>0</v>
      </c>
      <c r="K701" s="3065"/>
      <c r="L701" s="3066">
        <f>SUM(L702:L704)</f>
        <v>0</v>
      </c>
      <c r="M701" s="3065"/>
      <c r="N701" s="1870">
        <f>SUM(N702:N704)</f>
        <v>0</v>
      </c>
      <c r="O701" s="3065"/>
      <c r="P701" s="1938">
        <f>SUM(P702:P704)</f>
        <v>0</v>
      </c>
      <c r="Q701" s="3084"/>
      <c r="R701" s="1940">
        <f>SUM(R702:R704)</f>
        <v>0</v>
      </c>
      <c r="S701" s="3068"/>
      <c r="T701" s="3197">
        <v>0</v>
      </c>
      <c r="U701" s="1480"/>
      <c r="V701" s="1479">
        <v>0</v>
      </c>
      <c r="W701" s="1480"/>
      <c r="X701" s="3198">
        <v>0</v>
      </c>
    </row>
    <row r="702" spans="1:24" s="3028" customFormat="1">
      <c r="A702" s="3099" t="s">
        <v>20</v>
      </c>
      <c r="B702" s="3100">
        <v>0</v>
      </c>
      <c r="C702" s="3101"/>
      <c r="D702" s="3102">
        <v>0</v>
      </c>
      <c r="E702" s="3101"/>
      <c r="F702" s="3102">
        <v>0</v>
      </c>
      <c r="G702" s="3101"/>
      <c r="H702" s="3102">
        <v>0</v>
      </c>
      <c r="I702" s="3101"/>
      <c r="J702" s="3102">
        <v>0</v>
      </c>
      <c r="K702" s="3103"/>
      <c r="L702" s="3086">
        <v>0</v>
      </c>
      <c r="M702" s="3103"/>
      <c r="N702" s="3102">
        <v>0</v>
      </c>
      <c r="O702" s="3103"/>
      <c r="P702" s="3023">
        <v>0</v>
      </c>
      <c r="Q702" s="3103"/>
      <c r="R702" s="3025">
        <v>0</v>
      </c>
      <c r="S702" s="3068"/>
      <c r="T702" s="3191"/>
      <c r="U702" s="77"/>
      <c r="V702" s="78"/>
      <c r="W702" s="77"/>
      <c r="X702" s="3192"/>
    </row>
    <row r="703" spans="1:24" s="3028" customFormat="1">
      <c r="A703" s="3099" t="s">
        <v>17</v>
      </c>
      <c r="B703" s="3100">
        <v>0</v>
      </c>
      <c r="C703" s="3101"/>
      <c r="D703" s="3102">
        <v>0</v>
      </c>
      <c r="E703" s="3101"/>
      <c r="F703" s="3102">
        <v>0</v>
      </c>
      <c r="G703" s="3101"/>
      <c r="H703" s="3102">
        <v>0</v>
      </c>
      <c r="I703" s="3101"/>
      <c r="J703" s="3102">
        <v>0</v>
      </c>
      <c r="K703" s="3103"/>
      <c r="L703" s="3086">
        <v>0</v>
      </c>
      <c r="M703" s="3103"/>
      <c r="N703" s="3102">
        <v>0</v>
      </c>
      <c r="O703" s="3103"/>
      <c r="P703" s="3023">
        <v>0</v>
      </c>
      <c r="Q703" s="3103"/>
      <c r="R703" s="3025">
        <v>0</v>
      </c>
      <c r="S703" s="3068"/>
      <c r="T703" s="3191"/>
      <c r="U703" s="77"/>
      <c r="V703" s="78"/>
      <c r="W703" s="77"/>
      <c r="X703" s="3192"/>
    </row>
    <row r="704" spans="1:24" s="3028" customFormat="1" ht="13.8" thickBot="1">
      <c r="A704" s="1641" t="s">
        <v>154</v>
      </c>
      <c r="B704" s="2849">
        <v>0</v>
      </c>
      <c r="C704" s="3107"/>
      <c r="D704" s="3109">
        <v>0</v>
      </c>
      <c r="E704" s="3107"/>
      <c r="F704" s="3109">
        <v>0</v>
      </c>
      <c r="G704" s="3107"/>
      <c r="H704" s="3109">
        <v>0</v>
      </c>
      <c r="I704" s="3107"/>
      <c r="J704" s="3109">
        <v>0</v>
      </c>
      <c r="K704" s="3108"/>
      <c r="L704" s="2846">
        <v>0</v>
      </c>
      <c r="M704" s="3108"/>
      <c r="N704" s="3109">
        <v>0</v>
      </c>
      <c r="O704" s="3108"/>
      <c r="P704" s="3026">
        <v>0</v>
      </c>
      <c r="Q704" s="3108"/>
      <c r="R704" s="3027">
        <v>0</v>
      </c>
      <c r="S704" s="3071"/>
      <c r="T704" s="3193"/>
      <c r="U704" s="3194"/>
      <c r="V704" s="3195"/>
      <c r="W704" s="3194"/>
      <c r="X704" s="3196"/>
    </row>
    <row r="705" spans="1:24" s="3028" customFormat="1">
      <c r="A705" s="3117" t="s">
        <v>23</v>
      </c>
      <c r="B705" s="123">
        <f>B693+B697+B701</f>
        <v>16333</v>
      </c>
      <c r="C705" s="124"/>
      <c r="D705" s="1869">
        <f>D693+D697+D701</f>
        <v>17110</v>
      </c>
      <c r="E705" s="124"/>
      <c r="F705" s="1869">
        <f>F693+F697+F701</f>
        <v>20429</v>
      </c>
      <c r="G705" s="124"/>
      <c r="H705" s="1869">
        <f>H693+H697+H701</f>
        <v>23108</v>
      </c>
      <c r="I705" s="124"/>
      <c r="J705" s="1869">
        <f>J693+J697+J701</f>
        <v>23014</v>
      </c>
      <c r="K705" s="124"/>
      <c r="L705" s="1869">
        <f>L693+L697+L701</f>
        <v>23709.569325735993</v>
      </c>
      <c r="M705" s="124"/>
      <c r="N705" s="1869">
        <f>N693+N697+N701</f>
        <v>21812.803779677117</v>
      </c>
      <c r="O705" s="124"/>
      <c r="P705" s="3066">
        <f>P693+P697+P701</f>
        <v>21812.803779677117</v>
      </c>
      <c r="Q705" s="124"/>
      <c r="R705" s="122">
        <f>R693+R697+R701</f>
        <v>21812.803779677117</v>
      </c>
      <c r="S705" s="124"/>
      <c r="T705" s="3197">
        <f t="shared" ref="T705" si="702">(((N705/B705)^(1/6)-1))</f>
        <v>4.9399666296766176E-2</v>
      </c>
      <c r="U705" s="1480"/>
      <c r="V705" s="1479">
        <f t="shared" si="700"/>
        <v>0</v>
      </c>
      <c r="W705" s="1480"/>
      <c r="X705" s="3198">
        <f t="shared" si="701"/>
        <v>0</v>
      </c>
    </row>
    <row r="706" spans="1:24" s="3028" customFormat="1" ht="8.25" customHeight="1" thickBot="1">
      <c r="A706" s="3110"/>
      <c r="B706" s="126"/>
      <c r="C706" s="3068"/>
      <c r="D706" s="3068"/>
      <c r="E706" s="3068"/>
      <c r="F706" s="3068"/>
      <c r="G706" s="3068"/>
      <c r="H706" s="3068"/>
      <c r="I706" s="3068"/>
      <c r="J706" s="3068"/>
      <c r="K706" s="3068"/>
      <c r="L706" s="3068"/>
      <c r="M706" s="3068"/>
      <c r="N706" s="3068"/>
      <c r="O706" s="3068"/>
      <c r="P706" s="3065"/>
      <c r="Q706" s="3068"/>
      <c r="R706" s="127"/>
      <c r="S706" s="3068"/>
      <c r="T706" s="84"/>
      <c r="U706" s="34"/>
      <c r="V706" s="34"/>
      <c r="W706" s="34"/>
      <c r="X706" s="42"/>
    </row>
    <row r="707" spans="1:24" s="3028" customFormat="1">
      <c r="A707" s="3095" t="s">
        <v>24</v>
      </c>
      <c r="B707" s="115"/>
      <c r="C707" s="3073"/>
      <c r="D707" s="116"/>
      <c r="E707" s="3073"/>
      <c r="F707" s="116"/>
      <c r="G707" s="3073"/>
      <c r="H707" s="117"/>
      <c r="I707" s="3073"/>
      <c r="J707" s="117"/>
      <c r="K707" s="3073"/>
      <c r="L707" s="117"/>
      <c r="M707" s="3073"/>
      <c r="N707" s="2491"/>
      <c r="O707" s="3073"/>
      <c r="P707" s="118"/>
      <c r="Q707" s="3073"/>
      <c r="R707" s="119"/>
      <c r="S707" s="3073"/>
      <c r="T707" s="86"/>
      <c r="U707" s="45"/>
      <c r="V707" s="47"/>
      <c r="W707" s="45"/>
      <c r="X707" s="85"/>
    </row>
    <row r="708" spans="1:24" s="3028" customFormat="1">
      <c r="A708" s="3099" t="s">
        <v>19</v>
      </c>
      <c r="B708" s="3064">
        <f>SUM(B709:B711)</f>
        <v>7166.9000000000005</v>
      </c>
      <c r="C708" s="3065"/>
      <c r="D708" s="3066">
        <f>SUM(D709:D711)</f>
        <v>7789.5999999999995</v>
      </c>
      <c r="E708" s="3065"/>
      <c r="F708" s="3066">
        <f>SUM(F709:F711)</f>
        <v>8721.7999999999993</v>
      </c>
      <c r="G708" s="3065"/>
      <c r="H708" s="3066">
        <f>SUM(H709:H711)</f>
        <v>10010.1</v>
      </c>
      <c r="I708" s="3065"/>
      <c r="J708" s="3066">
        <f>SUM(J709:J711)</f>
        <v>10326.1</v>
      </c>
      <c r="K708" s="3065"/>
      <c r="L708" s="3066">
        <f>SUM(L709:L711)</f>
        <v>10429.688675085185</v>
      </c>
      <c r="M708" s="3065"/>
      <c r="N708" s="1870">
        <f>SUM(N709:N711)</f>
        <v>9595.3135810783715</v>
      </c>
      <c r="O708" s="3065"/>
      <c r="P708" s="1870">
        <f>SUM(P709:P711)</f>
        <v>9595.3135810783715</v>
      </c>
      <c r="Q708" s="3065"/>
      <c r="R708" s="2637">
        <f>SUM(R709:R711)</f>
        <v>9595.3135810783715</v>
      </c>
      <c r="S708" s="3065"/>
      <c r="T708" s="3188">
        <f>(((N708/B708)^(1/6)-1))</f>
        <v>4.9835621639619632E-2</v>
      </c>
      <c r="U708" s="25"/>
      <c r="V708" s="3189">
        <f>(P708-N708)/N708</f>
        <v>0</v>
      </c>
      <c r="W708" s="25"/>
      <c r="X708" s="3190">
        <f>(R708-P708)/P708</f>
        <v>0</v>
      </c>
    </row>
    <row r="709" spans="1:24" s="3028" customFormat="1">
      <c r="A709" s="3099" t="s">
        <v>20</v>
      </c>
      <c r="B709" s="3114">
        <v>6078.6</v>
      </c>
      <c r="C709" s="3115"/>
      <c r="D709" s="3116">
        <v>6661.9</v>
      </c>
      <c r="E709" s="3115"/>
      <c r="F709" s="3116">
        <v>7464</v>
      </c>
      <c r="G709" s="3115"/>
      <c r="H709" s="3116">
        <v>8682.5</v>
      </c>
      <c r="I709" s="3115"/>
      <c r="J709" s="3116">
        <v>9091.9</v>
      </c>
      <c r="K709" s="3103"/>
      <c r="L709" s="3116">
        <v>9183.019462818198</v>
      </c>
      <c r="M709" s="3103"/>
      <c r="N709" s="3116">
        <v>8448.3779057927422</v>
      </c>
      <c r="O709" s="3103"/>
      <c r="P709" s="3116">
        <v>8448.3779057927422</v>
      </c>
      <c r="Q709" s="3103"/>
      <c r="R709" s="1654">
        <v>8448.3779057927422</v>
      </c>
      <c r="S709" s="3068"/>
      <c r="T709" s="3191">
        <f t="shared" ref="T709:T710" si="703">(((N709/B709)^(1/6)-1))</f>
        <v>5.6399761285243599E-2</v>
      </c>
      <c r="U709" s="77"/>
      <c r="V709" s="78">
        <f t="shared" ref="V709:V710" si="704">(P709-N709)/N709</f>
        <v>0</v>
      </c>
      <c r="W709" s="77"/>
      <c r="X709" s="3192">
        <f t="shared" ref="X709:X710" si="705">(R709-P709)/P709</f>
        <v>0</v>
      </c>
    </row>
    <row r="710" spans="1:24" s="3028" customFormat="1">
      <c r="A710" s="3099" t="s">
        <v>17</v>
      </c>
      <c r="B710" s="3114">
        <v>1088.3</v>
      </c>
      <c r="C710" s="3115"/>
      <c r="D710" s="3116">
        <v>1127.7</v>
      </c>
      <c r="E710" s="3115"/>
      <c r="F710" s="3116">
        <v>1257.8</v>
      </c>
      <c r="G710" s="3115"/>
      <c r="H710" s="3116">
        <v>1327.6</v>
      </c>
      <c r="I710" s="3115"/>
      <c r="J710" s="3116">
        <v>1234.2</v>
      </c>
      <c r="K710" s="3103"/>
      <c r="L710" s="3116">
        <v>1246.6692122669872</v>
      </c>
      <c r="M710" s="3103"/>
      <c r="N710" s="3116">
        <v>1146.9356752856283</v>
      </c>
      <c r="O710" s="3103"/>
      <c r="P710" s="3116">
        <v>1146.9356752856283</v>
      </c>
      <c r="Q710" s="3103"/>
      <c r="R710" s="1654">
        <v>1146.9356752856283</v>
      </c>
      <c r="S710" s="3068"/>
      <c r="T710" s="3191">
        <f t="shared" si="703"/>
        <v>8.7845110056041786E-3</v>
      </c>
      <c r="U710" s="77"/>
      <c r="V710" s="78">
        <f t="shared" si="704"/>
        <v>0</v>
      </c>
      <c r="W710" s="77"/>
      <c r="X710" s="3192">
        <f t="shared" si="705"/>
        <v>0</v>
      </c>
    </row>
    <row r="711" spans="1:24" s="3028" customFormat="1">
      <c r="A711" s="3099" t="s">
        <v>154</v>
      </c>
      <c r="B711" s="3114">
        <v>0</v>
      </c>
      <c r="C711" s="3115"/>
      <c r="D711" s="3116">
        <v>0</v>
      </c>
      <c r="E711" s="3115"/>
      <c r="F711" s="3116">
        <v>0</v>
      </c>
      <c r="G711" s="3115"/>
      <c r="H711" s="3116">
        <v>0</v>
      </c>
      <c r="I711" s="3115"/>
      <c r="J711" s="3116">
        <v>0</v>
      </c>
      <c r="K711" s="3103"/>
      <c r="L711" s="3116">
        <v>0</v>
      </c>
      <c r="M711" s="3103"/>
      <c r="N711" s="3116">
        <v>0</v>
      </c>
      <c r="O711" s="3103"/>
      <c r="P711" s="3116">
        <v>0</v>
      </c>
      <c r="Q711" s="3103"/>
      <c r="R711" s="1654">
        <v>0</v>
      </c>
      <c r="S711" s="3068"/>
      <c r="T711" s="3191"/>
      <c r="U711" s="77"/>
      <c r="V711" s="78"/>
      <c r="W711" s="77"/>
      <c r="X711" s="3192"/>
    </row>
    <row r="712" spans="1:24" s="3028" customFormat="1">
      <c r="A712" s="3099" t="s">
        <v>21</v>
      </c>
      <c r="B712" s="3064">
        <f>SUM(B713:B715)</f>
        <v>0</v>
      </c>
      <c r="C712" s="3065"/>
      <c r="D712" s="3066">
        <f>SUM(D713:D715)</f>
        <v>0</v>
      </c>
      <c r="E712" s="3065"/>
      <c r="F712" s="3066">
        <f>SUM(F713:F715)</f>
        <v>0</v>
      </c>
      <c r="G712" s="3065"/>
      <c r="H712" s="3066">
        <f>SUM(H713:H715)</f>
        <v>0</v>
      </c>
      <c r="I712" s="3065"/>
      <c r="J712" s="3066">
        <f>SUM(J713:J715)</f>
        <v>0</v>
      </c>
      <c r="K712" s="3065"/>
      <c r="L712" s="3066">
        <f>SUM(L713:L715)</f>
        <v>0</v>
      </c>
      <c r="M712" s="3065"/>
      <c r="N712" s="1870">
        <f>SUM(N713:N715)</f>
        <v>0</v>
      </c>
      <c r="O712" s="3065"/>
      <c r="P712" s="1870">
        <f>SUM(P713:P715)</f>
        <v>0</v>
      </c>
      <c r="Q712" s="3065"/>
      <c r="R712" s="2637">
        <f>SUM(R713:R715)</f>
        <v>0</v>
      </c>
      <c r="S712" s="3068"/>
      <c r="T712" s="3197">
        <v>0</v>
      </c>
      <c r="U712" s="1480"/>
      <c r="V712" s="1479">
        <v>0</v>
      </c>
      <c r="W712" s="1480"/>
      <c r="X712" s="3198">
        <v>0</v>
      </c>
    </row>
    <row r="713" spans="1:24" s="3028" customFormat="1">
      <c r="A713" s="3099" t="s">
        <v>20</v>
      </c>
      <c r="B713" s="3100">
        <v>0</v>
      </c>
      <c r="C713" s="3101"/>
      <c r="D713" s="3102">
        <v>0</v>
      </c>
      <c r="E713" s="3101"/>
      <c r="F713" s="3102">
        <v>0</v>
      </c>
      <c r="G713" s="3101"/>
      <c r="H713" s="3102">
        <v>0</v>
      </c>
      <c r="I713" s="3101"/>
      <c r="J713" s="3102">
        <v>0</v>
      </c>
      <c r="K713" s="3103"/>
      <c r="L713" s="3086">
        <v>0</v>
      </c>
      <c r="M713" s="3103"/>
      <c r="N713" s="3102">
        <v>0</v>
      </c>
      <c r="O713" s="3103"/>
      <c r="P713" s="3023">
        <v>0</v>
      </c>
      <c r="Q713" s="3103"/>
      <c r="R713" s="3025">
        <v>0</v>
      </c>
      <c r="S713" s="3068"/>
      <c r="T713" s="3191"/>
      <c r="U713" s="77"/>
      <c r="V713" s="78"/>
      <c r="W713" s="77"/>
      <c r="X713" s="3192"/>
    </row>
    <row r="714" spans="1:24" s="3028" customFormat="1">
      <c r="A714" s="3099" t="s">
        <v>17</v>
      </c>
      <c r="B714" s="3100">
        <v>0</v>
      </c>
      <c r="C714" s="3101"/>
      <c r="D714" s="3102">
        <v>0</v>
      </c>
      <c r="E714" s="3101"/>
      <c r="F714" s="3102">
        <v>0</v>
      </c>
      <c r="G714" s="3101"/>
      <c r="H714" s="3102">
        <v>0</v>
      </c>
      <c r="I714" s="3101"/>
      <c r="J714" s="3102">
        <v>0</v>
      </c>
      <c r="K714" s="3103"/>
      <c r="L714" s="3086">
        <v>0</v>
      </c>
      <c r="M714" s="3103"/>
      <c r="N714" s="3102">
        <v>0</v>
      </c>
      <c r="O714" s="3103"/>
      <c r="P714" s="3023">
        <v>0</v>
      </c>
      <c r="Q714" s="3103"/>
      <c r="R714" s="3025">
        <v>0</v>
      </c>
      <c r="S714" s="3068"/>
      <c r="T714" s="3191"/>
      <c r="U714" s="77"/>
      <c r="V714" s="78"/>
      <c r="W714" s="77"/>
      <c r="X714" s="3192"/>
    </row>
    <row r="715" spans="1:24" s="3028" customFormat="1">
      <c r="A715" s="3099" t="s">
        <v>154</v>
      </c>
      <c r="B715" s="3100">
        <v>0</v>
      </c>
      <c r="C715" s="3101"/>
      <c r="D715" s="3102">
        <v>0</v>
      </c>
      <c r="E715" s="3101"/>
      <c r="F715" s="3102">
        <v>0</v>
      </c>
      <c r="G715" s="3101"/>
      <c r="H715" s="3102">
        <v>0</v>
      </c>
      <c r="I715" s="3101"/>
      <c r="J715" s="3102">
        <v>0</v>
      </c>
      <c r="K715" s="3103"/>
      <c r="L715" s="3086">
        <v>0</v>
      </c>
      <c r="M715" s="3103"/>
      <c r="N715" s="3102">
        <v>0</v>
      </c>
      <c r="O715" s="3103"/>
      <c r="P715" s="3023">
        <v>0</v>
      </c>
      <c r="Q715" s="3103"/>
      <c r="R715" s="3025">
        <v>0</v>
      </c>
      <c r="S715" s="3068"/>
      <c r="T715" s="3191"/>
      <c r="U715" s="77"/>
      <c r="V715" s="78"/>
      <c r="W715" s="77"/>
      <c r="X715" s="3192"/>
    </row>
    <row r="716" spans="1:24" s="3028" customFormat="1">
      <c r="A716" s="3105" t="s">
        <v>22</v>
      </c>
      <c r="B716" s="3064">
        <f>SUM(B717:B719)</f>
        <v>0</v>
      </c>
      <c r="C716" s="3065"/>
      <c r="D716" s="3066">
        <f>SUM(D717:D719)</f>
        <v>0</v>
      </c>
      <c r="E716" s="3065"/>
      <c r="F716" s="3066">
        <f>SUM(F717:F719)</f>
        <v>0</v>
      </c>
      <c r="G716" s="3065"/>
      <c r="H716" s="3066">
        <f>SUM(H717:H719)</f>
        <v>0</v>
      </c>
      <c r="I716" s="3065"/>
      <c r="J716" s="3066">
        <f>SUM(J717:J719)</f>
        <v>0</v>
      </c>
      <c r="K716" s="3065"/>
      <c r="L716" s="3066">
        <f>SUM(L717:L719)</f>
        <v>0</v>
      </c>
      <c r="M716" s="3065"/>
      <c r="N716" s="1870">
        <f>SUM(N717:N719)</f>
        <v>0</v>
      </c>
      <c r="O716" s="3065"/>
      <c r="P716" s="1938">
        <f>SUM(P717:P719)</f>
        <v>0</v>
      </c>
      <c r="Q716" s="3084"/>
      <c r="R716" s="1940">
        <f>SUM(R717:R719)</f>
        <v>0</v>
      </c>
      <c r="S716" s="3068"/>
      <c r="T716" s="3197">
        <v>0</v>
      </c>
      <c r="U716" s="1480"/>
      <c r="V716" s="1479">
        <v>0</v>
      </c>
      <c r="W716" s="1480"/>
      <c r="X716" s="3198">
        <v>0</v>
      </c>
    </row>
    <row r="717" spans="1:24" s="3028" customFormat="1">
      <c r="A717" s="3099" t="s">
        <v>20</v>
      </c>
      <c r="B717" s="3100">
        <v>0</v>
      </c>
      <c r="C717" s="3101"/>
      <c r="D717" s="3102">
        <v>0</v>
      </c>
      <c r="E717" s="3101"/>
      <c r="F717" s="3102">
        <v>0</v>
      </c>
      <c r="G717" s="3101"/>
      <c r="H717" s="3102">
        <v>0</v>
      </c>
      <c r="I717" s="3101"/>
      <c r="J717" s="3102">
        <v>0</v>
      </c>
      <c r="K717" s="3103"/>
      <c r="L717" s="3086">
        <v>0</v>
      </c>
      <c r="M717" s="3103"/>
      <c r="N717" s="3102">
        <v>0</v>
      </c>
      <c r="O717" s="3103"/>
      <c r="P717" s="3023">
        <v>0</v>
      </c>
      <c r="Q717" s="3103"/>
      <c r="R717" s="3025">
        <v>0</v>
      </c>
      <c r="S717" s="3068"/>
      <c r="T717" s="3191"/>
      <c r="U717" s="77"/>
      <c r="V717" s="78"/>
      <c r="W717" s="77"/>
      <c r="X717" s="3192"/>
    </row>
    <row r="718" spans="1:24" s="3028" customFormat="1">
      <c r="A718" s="3099" t="s">
        <v>17</v>
      </c>
      <c r="B718" s="3100">
        <v>0</v>
      </c>
      <c r="C718" s="3101"/>
      <c r="D718" s="3102">
        <v>0</v>
      </c>
      <c r="E718" s="3101"/>
      <c r="F718" s="3102">
        <v>0</v>
      </c>
      <c r="G718" s="3101"/>
      <c r="H718" s="3102">
        <v>0</v>
      </c>
      <c r="I718" s="3101"/>
      <c r="J718" s="3102">
        <v>0</v>
      </c>
      <c r="K718" s="3103"/>
      <c r="L718" s="3086">
        <v>0</v>
      </c>
      <c r="M718" s="3103"/>
      <c r="N718" s="3102">
        <v>0</v>
      </c>
      <c r="O718" s="3103"/>
      <c r="P718" s="3023">
        <v>0</v>
      </c>
      <c r="Q718" s="3103"/>
      <c r="R718" s="3025">
        <v>0</v>
      </c>
      <c r="S718" s="3068"/>
      <c r="T718" s="3191"/>
      <c r="U718" s="77"/>
      <c r="V718" s="78"/>
      <c r="W718" s="77"/>
      <c r="X718" s="3192"/>
    </row>
    <row r="719" spans="1:24" s="3028" customFormat="1" ht="13.8" thickBot="1">
      <c r="A719" s="2479" t="s">
        <v>154</v>
      </c>
      <c r="B719" s="2849">
        <v>0</v>
      </c>
      <c r="C719" s="3107"/>
      <c r="D719" s="3109">
        <v>0</v>
      </c>
      <c r="E719" s="3107"/>
      <c r="F719" s="3109">
        <v>0</v>
      </c>
      <c r="G719" s="3107"/>
      <c r="H719" s="3109">
        <v>0</v>
      </c>
      <c r="I719" s="3107"/>
      <c r="J719" s="3109">
        <v>0</v>
      </c>
      <c r="K719" s="3108"/>
      <c r="L719" s="2846">
        <v>0</v>
      </c>
      <c r="M719" s="3108"/>
      <c r="N719" s="3109">
        <v>0</v>
      </c>
      <c r="O719" s="3108"/>
      <c r="P719" s="3026">
        <v>0</v>
      </c>
      <c r="Q719" s="3108"/>
      <c r="R719" s="3027">
        <v>0</v>
      </c>
      <c r="S719" s="3071"/>
      <c r="T719" s="3193"/>
      <c r="U719" s="3194"/>
      <c r="V719" s="3195"/>
      <c r="W719" s="3194"/>
      <c r="X719" s="3196"/>
    </row>
    <row r="720" spans="1:24" s="3028" customFormat="1" ht="13.8" thickTop="1">
      <c r="A720" s="3117" t="s">
        <v>25</v>
      </c>
      <c r="B720" s="123">
        <f>B708+B712+B716</f>
        <v>7166.9000000000005</v>
      </c>
      <c r="C720" s="124"/>
      <c r="D720" s="1869">
        <f>D708+D712+D716</f>
        <v>7789.5999999999995</v>
      </c>
      <c r="E720" s="124"/>
      <c r="F720" s="1869">
        <f>F708+F712+F716</f>
        <v>8721.7999999999993</v>
      </c>
      <c r="G720" s="124"/>
      <c r="H720" s="1869">
        <f>H708+H712+H716</f>
        <v>10010.1</v>
      </c>
      <c r="I720" s="124"/>
      <c r="J720" s="1869">
        <f>J708+J712+J716</f>
        <v>10326.1</v>
      </c>
      <c r="K720" s="124"/>
      <c r="L720" s="1869">
        <f>L708+L712+L716</f>
        <v>10429.688675085185</v>
      </c>
      <c r="M720" s="124"/>
      <c r="N720" s="1869">
        <f>N708+N712+N716</f>
        <v>9595.3135810783715</v>
      </c>
      <c r="O720" s="124"/>
      <c r="P720" s="3066">
        <f>P708+P712+P716</f>
        <v>9595.3135810783715</v>
      </c>
      <c r="Q720" s="124"/>
      <c r="R720" s="122">
        <f>R708+R712+R716</f>
        <v>9595.3135810783715</v>
      </c>
      <c r="S720" s="124"/>
      <c r="T720" s="3197">
        <f t="shared" ref="T720" si="706">(((N720/B720)^(1/6)-1))</f>
        <v>4.9835621639619632E-2</v>
      </c>
      <c r="U720" s="1480"/>
      <c r="V720" s="1479">
        <f t="shared" ref="V720" si="707">(P720-N720)/N720</f>
        <v>0</v>
      </c>
      <c r="W720" s="1480"/>
      <c r="X720" s="3198">
        <f t="shared" ref="X720" si="708">(R720-P720)/P720</f>
        <v>0</v>
      </c>
    </row>
    <row r="721" spans="1:25" s="3028" customFormat="1" ht="8.25" customHeight="1" thickBot="1">
      <c r="A721" s="3110"/>
      <c r="B721" s="126"/>
      <c r="C721" s="3068"/>
      <c r="D721" s="3068"/>
      <c r="E721" s="3068"/>
      <c r="F721" s="3068"/>
      <c r="G721" s="3068"/>
      <c r="H721" s="3068"/>
      <c r="I721" s="3068"/>
      <c r="J721" s="3068"/>
      <c r="K721" s="3068"/>
      <c r="L721" s="3068"/>
      <c r="M721" s="3068"/>
      <c r="N721" s="3068"/>
      <c r="O721" s="3068"/>
      <c r="P721" s="3065"/>
      <c r="Q721" s="3068"/>
      <c r="R721" s="127"/>
      <c r="S721" s="3068"/>
      <c r="T721" s="84"/>
      <c r="U721" s="34"/>
      <c r="V721" s="34"/>
      <c r="W721" s="34"/>
      <c r="X721" s="42"/>
    </row>
    <row r="722" spans="1:25" s="3028" customFormat="1">
      <c r="A722" s="3095" t="s">
        <v>78</v>
      </c>
      <c r="B722" s="3111"/>
      <c r="C722" s="3097"/>
      <c r="D722" s="3112"/>
      <c r="E722" s="3097"/>
      <c r="F722" s="3112"/>
      <c r="G722" s="3097"/>
      <c r="H722" s="3098"/>
      <c r="I722" s="3097"/>
      <c r="J722" s="3098"/>
      <c r="K722" s="3097"/>
      <c r="L722" s="3098"/>
      <c r="M722" s="3097"/>
      <c r="N722" s="3098"/>
      <c r="O722" s="3097"/>
      <c r="P722" s="3113"/>
      <c r="Q722" s="3097"/>
      <c r="R722" s="3049"/>
      <c r="S722" s="3073"/>
      <c r="T722" s="86"/>
      <c r="U722" s="45"/>
      <c r="V722" s="47"/>
      <c r="W722" s="45"/>
      <c r="X722" s="85"/>
    </row>
    <row r="723" spans="1:25" s="3028" customFormat="1">
      <c r="A723" s="3105" t="s">
        <v>79</v>
      </c>
      <c r="B723" s="3118">
        <v>2368</v>
      </c>
      <c r="C723" s="3119"/>
      <c r="D723" s="3120">
        <v>3541</v>
      </c>
      <c r="E723" s="3119"/>
      <c r="F723" s="3120">
        <v>7157</v>
      </c>
      <c r="G723" s="3119"/>
      <c r="H723" s="3121">
        <v>9440</v>
      </c>
      <c r="I723" s="3119"/>
      <c r="J723" s="3121">
        <v>10029</v>
      </c>
      <c r="K723" s="3135"/>
      <c r="L723" s="3121">
        <v>10831.320000000002</v>
      </c>
      <c r="M723" s="3135"/>
      <c r="N723" s="3121">
        <v>11372.886000000002</v>
      </c>
      <c r="O723" s="3135"/>
      <c r="P723" s="3121">
        <v>11941.530300000002</v>
      </c>
      <c r="Q723" s="3135"/>
      <c r="R723" s="3087">
        <v>12240.068557500001</v>
      </c>
      <c r="S723" s="3065"/>
      <c r="T723" s="3191">
        <f t="shared" ref="T723:T724" si="709">(((N723/B723)^(1/6)-1))</f>
        <v>0.29891729059632621</v>
      </c>
      <c r="U723" s="77"/>
      <c r="V723" s="78">
        <f t="shared" ref="V723:V724" si="710">(P723-N723)/N723</f>
        <v>4.9999999999999982E-2</v>
      </c>
      <c r="W723" s="77"/>
      <c r="X723" s="3192">
        <f t="shared" ref="X723:X724" si="711">(R723-P723)/P723</f>
        <v>2.499999999999987E-2</v>
      </c>
    </row>
    <row r="724" spans="1:25" s="3028" customFormat="1" ht="13.8" thickBot="1">
      <c r="A724" s="3122" t="s">
        <v>80</v>
      </c>
      <c r="B724" s="3123">
        <v>481.3</v>
      </c>
      <c r="C724" s="3125"/>
      <c r="D724" s="3124">
        <v>770.5</v>
      </c>
      <c r="E724" s="3125"/>
      <c r="F724" s="3124">
        <v>1333.7</v>
      </c>
      <c r="G724" s="3125"/>
      <c r="H724" s="3126">
        <v>1908.3</v>
      </c>
      <c r="I724" s="3125"/>
      <c r="J724" s="3126">
        <v>2145.6999999999998</v>
      </c>
      <c r="K724" s="3127"/>
      <c r="L724" s="3126">
        <v>2317.3559999999998</v>
      </c>
      <c r="M724" s="3127"/>
      <c r="N724" s="3126">
        <v>2433.2237999999998</v>
      </c>
      <c r="O724" s="3127"/>
      <c r="P724" s="3126">
        <v>2554.88499</v>
      </c>
      <c r="Q724" s="3127"/>
      <c r="R724" s="1653">
        <v>2618.7571147499998</v>
      </c>
      <c r="S724" s="3082"/>
      <c r="T724" s="3199">
        <f t="shared" si="709"/>
        <v>0.31006958995858613</v>
      </c>
      <c r="U724" s="79"/>
      <c r="V724" s="80">
        <f t="shared" si="710"/>
        <v>5.0000000000000114E-2</v>
      </c>
      <c r="W724" s="79"/>
      <c r="X724" s="3200">
        <f t="shared" si="711"/>
        <v>2.4999999999999915E-2</v>
      </c>
      <c r="Y724" s="3259"/>
    </row>
    <row r="725" spans="1:25">
      <c r="A725" s="28" t="s">
        <v>12</v>
      </c>
      <c r="B725" s="3755"/>
      <c r="C725" s="3755"/>
      <c r="D725" s="3755"/>
      <c r="E725" s="3755"/>
      <c r="F725" s="3755"/>
      <c r="G725" s="3755"/>
      <c r="H725" s="3755"/>
      <c r="I725" s="3755"/>
      <c r="J725" s="3755"/>
      <c r="K725" s="3755"/>
      <c r="L725" s="3755"/>
      <c r="M725" s="3755"/>
      <c r="N725" s="3755"/>
      <c r="O725" s="3755"/>
      <c r="P725" s="3755"/>
      <c r="Q725" s="3755"/>
      <c r="R725" s="3755"/>
      <c r="T725" s="4"/>
      <c r="V725" s="4"/>
      <c r="X725" s="4"/>
    </row>
    <row r="726" spans="1:25">
      <c r="A726" s="39" t="s">
        <v>157</v>
      </c>
      <c r="B726" s="4"/>
      <c r="C726" s="2779"/>
      <c r="D726" s="4"/>
      <c r="E726" s="4"/>
      <c r="F726" s="3"/>
      <c r="G726" s="4"/>
      <c r="H726" s="4"/>
      <c r="I726" s="4"/>
      <c r="J726" s="4"/>
      <c r="L726" s="4"/>
      <c r="N726" s="4"/>
      <c r="T726" s="4"/>
      <c r="V726" s="4"/>
      <c r="X726" s="4"/>
    </row>
    <row r="727" spans="1:25">
      <c r="A727" s="39" t="s">
        <v>119</v>
      </c>
      <c r="B727" s="4"/>
      <c r="C727" s="2779"/>
      <c r="D727" s="4"/>
      <c r="E727" s="4"/>
      <c r="F727" s="3"/>
      <c r="G727" s="4"/>
      <c r="H727" s="4"/>
      <c r="I727" s="4"/>
      <c r="J727" s="4"/>
      <c r="L727" s="4"/>
      <c r="N727" s="4"/>
      <c r="T727" s="4"/>
      <c r="V727" s="4"/>
      <c r="X727" s="4"/>
    </row>
    <row r="728" spans="1:25">
      <c r="A728" s="98" t="s">
        <v>156</v>
      </c>
      <c r="B728" s="4"/>
      <c r="C728" s="2779"/>
      <c r="D728" s="4"/>
      <c r="E728" s="4"/>
      <c r="F728" s="3"/>
      <c r="G728" s="4"/>
      <c r="H728" s="4"/>
      <c r="I728" s="4"/>
      <c r="J728" s="4"/>
      <c r="L728" s="4"/>
      <c r="N728" s="4"/>
      <c r="T728" s="4"/>
      <c r="V728" s="4"/>
      <c r="X728" s="4"/>
    </row>
    <row r="729" spans="1:25">
      <c r="A729" s="28" t="s">
        <v>120</v>
      </c>
      <c r="B729" s="4"/>
      <c r="C729" s="2779"/>
      <c r="D729" s="4"/>
      <c r="E729" s="4"/>
      <c r="F729" s="3"/>
      <c r="G729" s="4"/>
      <c r="H729" s="4"/>
      <c r="I729" s="4"/>
      <c r="J729" s="4"/>
      <c r="L729" s="4"/>
      <c r="N729" s="4"/>
      <c r="T729" s="4"/>
      <c r="V729" s="4"/>
      <c r="X729" s="4"/>
    </row>
    <row r="730" spans="1:25">
      <c r="A730" s="100" t="s">
        <v>121</v>
      </c>
      <c r="B730" s="4"/>
      <c r="C730" s="2779"/>
      <c r="D730" s="4"/>
      <c r="E730" s="4"/>
      <c r="F730" s="3"/>
      <c r="G730" s="4"/>
      <c r="H730" s="4"/>
      <c r="I730" s="4"/>
      <c r="J730" s="4"/>
      <c r="L730" s="4"/>
      <c r="N730" s="4"/>
      <c r="T730" s="4"/>
      <c r="V730" s="4"/>
      <c r="X730" s="4"/>
    </row>
    <row r="731" spans="1:25">
      <c r="A731" s="866" t="s">
        <v>181</v>
      </c>
      <c r="B731" s="4"/>
      <c r="C731" s="2779"/>
      <c r="D731" s="4"/>
      <c r="E731" s="4"/>
      <c r="F731" s="3"/>
      <c r="G731" s="4"/>
      <c r="H731" s="4"/>
      <c r="I731" s="4"/>
      <c r="J731" s="4"/>
      <c r="L731" s="4"/>
      <c r="N731" s="4"/>
      <c r="T731" s="4"/>
      <c r="V731" s="4"/>
      <c r="X731" s="4"/>
    </row>
    <row r="732" spans="1:25">
      <c r="A732" s="859"/>
      <c r="B732" s="4"/>
      <c r="C732" s="2779"/>
      <c r="D732" s="4"/>
      <c r="E732" s="4"/>
      <c r="F732" s="3"/>
      <c r="G732" s="4"/>
      <c r="H732" s="4"/>
      <c r="I732" s="4"/>
      <c r="J732" s="4"/>
      <c r="L732" s="4"/>
      <c r="N732" s="4"/>
      <c r="T732" s="4"/>
      <c r="V732" s="4"/>
      <c r="X732" s="4"/>
    </row>
    <row r="733" spans="1:25">
      <c r="A733" s="865" t="s">
        <v>182</v>
      </c>
      <c r="B733" s="4"/>
      <c r="C733" s="2779"/>
      <c r="D733" s="4"/>
      <c r="E733" s="4"/>
      <c r="F733" s="3"/>
      <c r="G733" s="4"/>
      <c r="H733" s="4"/>
      <c r="I733" s="4"/>
      <c r="J733" s="4"/>
      <c r="L733" s="4"/>
      <c r="N733" s="4"/>
      <c r="T733" s="4"/>
      <c r="V733" s="4"/>
      <c r="X733" s="4"/>
    </row>
    <row r="734" spans="1:25">
      <c r="A734" s="865" t="s">
        <v>183</v>
      </c>
      <c r="B734" s="4"/>
      <c r="C734" s="2779"/>
      <c r="D734" s="4"/>
      <c r="E734" s="4"/>
      <c r="F734" s="3"/>
      <c r="G734" s="4"/>
      <c r="H734" s="4"/>
      <c r="I734" s="4"/>
      <c r="J734" s="4"/>
      <c r="L734" s="4"/>
      <c r="N734" s="4"/>
      <c r="T734" s="4"/>
      <c r="V734" s="4"/>
      <c r="X734" s="4"/>
    </row>
    <row r="735" spans="1:25">
      <c r="A735" s="865" t="s">
        <v>184</v>
      </c>
      <c r="B735" s="4"/>
      <c r="C735" s="2779"/>
      <c r="D735" s="4"/>
      <c r="E735" s="4"/>
      <c r="F735" s="3"/>
      <c r="G735" s="4"/>
      <c r="H735" s="4"/>
      <c r="I735" s="4"/>
      <c r="J735" s="4"/>
      <c r="L735" s="4"/>
      <c r="N735" s="4"/>
      <c r="T735" s="4"/>
      <c r="V735" s="4"/>
      <c r="X735" s="4"/>
    </row>
    <row r="736" spans="1:25">
      <c r="A736" s="865" t="s">
        <v>185</v>
      </c>
      <c r="B736" s="4"/>
      <c r="C736" s="2779"/>
      <c r="D736" s="4"/>
      <c r="E736" s="4"/>
      <c r="F736" s="3"/>
      <c r="G736" s="4"/>
      <c r="H736" s="4"/>
      <c r="I736" s="4"/>
      <c r="J736" s="4"/>
      <c r="L736" s="4"/>
      <c r="N736" s="4"/>
      <c r="T736" s="4"/>
      <c r="V736" s="4"/>
      <c r="X736" s="4"/>
    </row>
    <row r="737" spans="1:24">
      <c r="A737" s="859"/>
      <c r="B737" s="4"/>
      <c r="C737" s="2779"/>
      <c r="D737" s="4"/>
      <c r="E737" s="4"/>
      <c r="F737" s="3"/>
      <c r="G737" s="4"/>
      <c r="H737" s="4"/>
      <c r="I737" s="4"/>
      <c r="J737" s="4"/>
      <c r="L737" s="4"/>
      <c r="N737" s="4"/>
      <c r="T737" s="4"/>
      <c r="V737" s="4"/>
      <c r="X737" s="4"/>
    </row>
    <row r="738" spans="1:24" s="1843" customFormat="1">
      <c r="A738" s="1871" t="s">
        <v>207</v>
      </c>
      <c r="B738" s="1846"/>
      <c r="C738" s="2779"/>
      <c r="D738" s="1846"/>
      <c r="E738" s="1846"/>
      <c r="F738" s="1845"/>
      <c r="G738" s="1846"/>
      <c r="H738" s="1846"/>
      <c r="I738" s="1846"/>
      <c r="J738" s="1846"/>
      <c r="L738" s="1846"/>
      <c r="N738" s="1846"/>
      <c r="T738" s="1846"/>
      <c r="V738" s="1846"/>
      <c r="X738" s="1846"/>
    </row>
    <row r="739" spans="1:24">
      <c r="A739" s="1868" t="s">
        <v>202</v>
      </c>
      <c r="B739" s="4"/>
      <c r="C739" s="2779"/>
      <c r="D739" s="4"/>
      <c r="E739" s="4"/>
      <c r="F739" s="3"/>
      <c r="G739" s="4"/>
      <c r="H739" s="4"/>
      <c r="I739" s="4"/>
      <c r="J739" s="4"/>
      <c r="L739" s="4"/>
      <c r="N739" s="4"/>
      <c r="T739" s="4"/>
      <c r="V739" s="4"/>
      <c r="X739" s="4"/>
    </row>
    <row r="740" spans="1:24">
      <c r="A740" s="1868" t="s">
        <v>203</v>
      </c>
      <c r="B740" s="4"/>
      <c r="C740" s="2779"/>
      <c r="D740" s="4"/>
      <c r="E740" s="4"/>
      <c r="F740" s="3"/>
      <c r="G740" s="4"/>
      <c r="H740" s="4"/>
      <c r="I740" s="4"/>
      <c r="J740" s="4"/>
      <c r="L740" s="4"/>
      <c r="N740" s="4"/>
      <c r="T740" s="4"/>
      <c r="V740" s="4"/>
      <c r="X740" s="4"/>
    </row>
    <row r="741" spans="1:24">
      <c r="A741" s="1848"/>
      <c r="B741" s="4"/>
      <c r="C741" s="2779"/>
      <c r="D741" s="4"/>
      <c r="E741" s="4"/>
      <c r="F741" s="3"/>
      <c r="G741" s="4"/>
      <c r="H741" s="4"/>
      <c r="I741" s="4"/>
      <c r="J741" s="4"/>
      <c r="L741" s="4"/>
      <c r="N741" s="4"/>
      <c r="T741" s="4"/>
      <c r="V741" s="4"/>
      <c r="X741" s="4"/>
    </row>
    <row r="742" spans="1:24">
      <c r="A742" s="1848" t="s">
        <v>186</v>
      </c>
      <c r="B742" s="4"/>
      <c r="C742" s="2779"/>
      <c r="D742" s="4"/>
      <c r="E742" s="4"/>
      <c r="F742" s="3"/>
      <c r="G742" s="4"/>
      <c r="H742" s="4"/>
      <c r="I742" s="4"/>
      <c r="J742" s="4"/>
      <c r="L742" s="4"/>
      <c r="N742" s="4"/>
      <c r="T742" s="4"/>
      <c r="V742" s="4"/>
      <c r="X742" s="4"/>
    </row>
    <row r="743" spans="1:24">
      <c r="A743" s="1868" t="s">
        <v>187</v>
      </c>
      <c r="B743" s="4"/>
      <c r="C743" s="2779"/>
      <c r="D743" s="4"/>
      <c r="E743" s="4"/>
      <c r="F743" s="3"/>
      <c r="G743" s="4"/>
      <c r="H743" s="4"/>
      <c r="I743" s="4"/>
      <c r="J743" s="4"/>
      <c r="L743" s="4"/>
      <c r="N743" s="4"/>
      <c r="T743" s="4"/>
      <c r="V743" s="4"/>
      <c r="X743" s="4"/>
    </row>
    <row r="744" spans="1:24">
      <c r="B744" s="4"/>
      <c r="C744" s="2779"/>
      <c r="D744" s="4"/>
      <c r="E744" s="4"/>
      <c r="F744" s="3"/>
      <c r="G744" s="4"/>
      <c r="H744" s="4"/>
      <c r="I744" s="4"/>
      <c r="J744" s="4"/>
      <c r="L744" s="4"/>
      <c r="N744" s="4"/>
      <c r="T744" s="4"/>
      <c r="V744" s="4"/>
      <c r="X744" s="4"/>
    </row>
    <row r="745" spans="1:24">
      <c r="B745" s="4"/>
      <c r="C745" s="2779"/>
      <c r="D745" s="4"/>
      <c r="E745" s="4"/>
      <c r="F745" s="3"/>
      <c r="G745" s="4"/>
      <c r="H745" s="4"/>
      <c r="I745" s="4"/>
      <c r="J745" s="4"/>
      <c r="L745" s="4"/>
      <c r="N745" s="4"/>
      <c r="T745" s="4"/>
      <c r="V745" s="4"/>
      <c r="X745" s="4"/>
    </row>
    <row r="746" spans="1:24">
      <c r="B746" s="4"/>
      <c r="C746" s="2779"/>
      <c r="D746" s="4"/>
      <c r="E746" s="4"/>
      <c r="F746" s="3"/>
      <c r="G746" s="4"/>
      <c r="H746" s="4"/>
      <c r="I746" s="4"/>
      <c r="J746" s="4"/>
      <c r="L746" s="4"/>
      <c r="N746" s="4"/>
      <c r="T746" s="4"/>
      <c r="V746" s="4"/>
      <c r="X746" s="4"/>
    </row>
    <row r="747" spans="1:24">
      <c r="B747" s="4"/>
      <c r="C747" s="2779"/>
      <c r="D747" s="4"/>
      <c r="E747" s="4"/>
      <c r="F747" s="3"/>
      <c r="G747" s="4"/>
      <c r="H747" s="4"/>
      <c r="I747" s="4"/>
      <c r="J747" s="4"/>
      <c r="L747" s="4"/>
      <c r="N747" s="4"/>
      <c r="T747" s="4"/>
      <c r="V747" s="4"/>
      <c r="X747" s="4"/>
    </row>
    <row r="748" spans="1:24">
      <c r="B748" s="4"/>
      <c r="C748" s="2779"/>
      <c r="D748" s="4"/>
      <c r="E748" s="4"/>
      <c r="F748" s="3"/>
      <c r="G748" s="4"/>
      <c r="H748" s="4"/>
      <c r="I748" s="4"/>
      <c r="J748" s="4"/>
      <c r="L748" s="4"/>
      <c r="N748" s="4"/>
      <c r="T748" s="4"/>
      <c r="V748" s="4"/>
      <c r="X748" s="4"/>
    </row>
    <row r="749" spans="1:24">
      <c r="B749" s="4"/>
      <c r="C749" s="2779"/>
      <c r="D749" s="4"/>
      <c r="E749" s="4"/>
      <c r="F749" s="3"/>
      <c r="G749" s="4"/>
      <c r="H749" s="4"/>
      <c r="I749" s="4"/>
      <c r="J749" s="4"/>
      <c r="L749" s="4"/>
      <c r="N749" s="4"/>
      <c r="T749" s="4"/>
      <c r="V749" s="4"/>
      <c r="X749" s="4"/>
    </row>
  </sheetData>
  <mergeCells count="4">
    <mergeCell ref="A2:X2"/>
    <mergeCell ref="A3:X3"/>
    <mergeCell ref="A4:X4"/>
    <mergeCell ref="A1:X1"/>
  </mergeCells>
  <printOptions horizontalCentered="1"/>
  <pageMargins left="0.7" right="0.7" top="0.75" bottom="0.75" header="0.3" footer="0.3"/>
  <pageSetup scale="65" fitToHeight="4" orientation="landscape" r:id="rId1"/>
  <headerFooter alignWithMargins="0">
    <oddFooter>&amp;LHouse Ways and Means Cmte Amendment 1001 2-14-13&amp;R&amp;D</oddFooter>
  </headerFooter>
  <ignoredErrors>
    <ignoredError sqref="T10:X36 B10:R12 B38:R40" unlockedFormula="1"/>
    <ignoredError sqref="B13:R37" formula="1" unlockedFormula="1"/>
  </ignoredError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J131"/>
  <sheetViews>
    <sheetView topLeftCell="A2" zoomScale="70" zoomScaleNormal="70" workbookViewId="0">
      <selection activeCell="A2" sqref="A2:R2"/>
    </sheetView>
  </sheetViews>
  <sheetFormatPr defaultColWidth="9.109375" defaultRowHeight="14.4"/>
  <cols>
    <col min="1" max="1" width="11" style="3657" bestFit="1" customWidth="1"/>
    <col min="2" max="2" width="21.44140625" style="3671" bestFit="1" customWidth="1"/>
    <col min="3" max="3" width="22.88671875" style="3671" bestFit="1" customWidth="1"/>
    <col min="4" max="5" width="20.88671875" style="3671" bestFit="1" customWidth="1"/>
    <col min="6" max="7" width="22.88671875" style="3671" bestFit="1" customWidth="1"/>
    <col min="8" max="8" width="19.109375" style="3671" bestFit="1" customWidth="1"/>
    <col min="9" max="11" width="20.88671875" style="3671" bestFit="1" customWidth="1"/>
    <col min="12" max="13" width="20.44140625" style="3671" bestFit="1" customWidth="1"/>
    <col min="14" max="14" width="22" style="3671" bestFit="1" customWidth="1"/>
    <col min="15" max="17" width="20.109375" style="3671" bestFit="1" customWidth="1"/>
    <col min="18" max="18" width="23.44140625" style="3656" bestFit="1" customWidth="1"/>
    <col min="19" max="19" width="6.109375" style="3647" bestFit="1" customWidth="1"/>
    <col min="20" max="21" width="10.88671875" style="3647" bestFit="1" customWidth="1"/>
    <col min="22" max="22" width="12.88671875" style="3647" customWidth="1"/>
    <col min="23" max="23" width="9.109375" style="3647"/>
    <col min="24" max="26" width="8" style="3647" bestFit="1" customWidth="1"/>
    <col min="27" max="27" width="8.88671875" style="3647" bestFit="1" customWidth="1"/>
    <col min="28" max="16384" width="9.109375" style="3647"/>
  </cols>
  <sheetData>
    <row r="1" spans="1:62" ht="21">
      <c r="A1" s="4500" t="s">
        <v>843</v>
      </c>
      <c r="B1" s="4501"/>
      <c r="C1" s="4501"/>
      <c r="D1" s="4501"/>
      <c r="E1" s="4501"/>
      <c r="F1" s="4501"/>
      <c r="G1" s="4501"/>
      <c r="H1" s="4501"/>
      <c r="I1" s="4501"/>
      <c r="J1" s="4501"/>
      <c r="K1" s="4501"/>
      <c r="L1" s="4501"/>
      <c r="M1" s="4501"/>
      <c r="N1" s="4501"/>
      <c r="O1" s="4501"/>
      <c r="P1" s="4501"/>
      <c r="Q1" s="4501"/>
      <c r="R1" s="4501"/>
    </row>
    <row r="2" spans="1:62" ht="21">
      <c r="A2" s="4502" t="s">
        <v>970</v>
      </c>
      <c r="B2" s="4501"/>
      <c r="C2" s="4501"/>
      <c r="D2" s="4501"/>
      <c r="E2" s="4501"/>
      <c r="F2" s="4501"/>
      <c r="G2" s="4501"/>
      <c r="H2" s="4501"/>
      <c r="I2" s="4501"/>
      <c r="J2" s="4501"/>
      <c r="K2" s="4501"/>
      <c r="L2" s="4501"/>
      <c r="M2" s="4501"/>
      <c r="N2" s="4501"/>
      <c r="O2" s="4501"/>
      <c r="P2" s="4501"/>
      <c r="Q2" s="4501"/>
      <c r="R2" s="4501"/>
    </row>
    <row r="3" spans="1:62" ht="21.6" thickBot="1">
      <c r="A3" s="3648"/>
      <c r="B3" s="3649"/>
      <c r="C3" s="3650"/>
      <c r="D3" s="3650"/>
      <c r="E3" s="3650"/>
      <c r="F3" s="3650"/>
      <c r="G3" s="3650"/>
      <c r="H3" s="3650"/>
      <c r="I3" s="3650"/>
      <c r="J3" s="3650"/>
      <c r="K3" s="3650"/>
      <c r="L3" s="3650"/>
      <c r="M3" s="3650"/>
      <c r="N3" s="3650"/>
      <c r="O3" s="3650"/>
      <c r="P3" s="3650"/>
      <c r="Q3" s="3650"/>
      <c r="R3" s="3651"/>
    </row>
    <row r="4" spans="1:62" ht="22.2" thickTop="1" thickBot="1">
      <c r="A4" s="4503" t="s">
        <v>405</v>
      </c>
      <c r="B4" s="4504"/>
      <c r="C4" s="4504"/>
      <c r="D4" s="4504"/>
      <c r="E4" s="4504"/>
      <c r="F4" s="4504"/>
      <c r="G4" s="4504"/>
      <c r="H4" s="4504"/>
      <c r="I4" s="4504"/>
      <c r="J4" s="4504"/>
      <c r="K4" s="4504"/>
      <c r="L4" s="4504"/>
      <c r="M4" s="4504"/>
      <c r="N4" s="4504"/>
      <c r="O4" s="4504"/>
      <c r="P4" s="4504"/>
      <c r="Q4" s="4504"/>
      <c r="R4" s="4504"/>
      <c r="S4" s="3652"/>
      <c r="T4" s="3652"/>
      <c r="U4" s="3652"/>
      <c r="V4" s="3652"/>
      <c r="W4" s="3652"/>
      <c r="X4" s="3652"/>
      <c r="Y4" s="3652"/>
      <c r="Z4" s="3652"/>
      <c r="AA4" s="3652"/>
    </row>
    <row r="5" spans="1:62" s="3657" customFormat="1" ht="21">
      <c r="A5" s="3653"/>
      <c r="B5" s="3654" t="s">
        <v>277</v>
      </c>
      <c r="C5" s="3654" t="s">
        <v>276</v>
      </c>
      <c r="D5" s="3654" t="s">
        <v>275</v>
      </c>
      <c r="E5" s="3654" t="s">
        <v>406</v>
      </c>
      <c r="F5" s="3654" t="s">
        <v>407</v>
      </c>
      <c r="G5" s="3654" t="s">
        <v>408</v>
      </c>
      <c r="H5" s="3654" t="s">
        <v>409</v>
      </c>
      <c r="I5" s="3654" t="s">
        <v>410</v>
      </c>
      <c r="J5" s="3654" t="s">
        <v>411</v>
      </c>
      <c r="K5" s="3654" t="s">
        <v>412</v>
      </c>
      <c r="L5" s="3654" t="s">
        <v>413</v>
      </c>
      <c r="M5" s="3654" t="s">
        <v>327</v>
      </c>
      <c r="N5" s="3654" t="s">
        <v>414</v>
      </c>
      <c r="O5" s="3654" t="s">
        <v>415</v>
      </c>
      <c r="P5" s="3654" t="s">
        <v>416</v>
      </c>
      <c r="Q5" s="3654" t="s">
        <v>272</v>
      </c>
      <c r="R5" s="3655" t="s">
        <v>417</v>
      </c>
      <c r="S5" s="3656"/>
      <c r="T5" s="3656"/>
      <c r="U5" s="3656"/>
      <c r="V5" s="3656"/>
      <c r="W5" s="3652"/>
      <c r="X5" s="3656"/>
      <c r="Y5" s="3656"/>
      <c r="Z5" s="3656"/>
      <c r="AA5" s="3656"/>
      <c r="AK5" s="3658"/>
      <c r="AL5" s="3658"/>
      <c r="AM5" s="3658"/>
      <c r="AN5" s="3658"/>
      <c r="AO5" s="3658"/>
      <c r="AP5" s="3658"/>
      <c r="AQ5" s="3658"/>
      <c r="AR5" s="3658"/>
      <c r="AS5" s="3658"/>
      <c r="AT5" s="3658"/>
      <c r="AU5" s="3658"/>
      <c r="AV5" s="3658"/>
      <c r="AX5" s="3658"/>
      <c r="AY5" s="3658"/>
      <c r="AZ5" s="3658"/>
      <c r="BA5" s="3658"/>
      <c r="BB5" s="3658"/>
      <c r="BC5" s="3658"/>
      <c r="BD5" s="3658"/>
      <c r="BE5" s="3658"/>
      <c r="BF5" s="3658"/>
      <c r="BG5" s="3658"/>
      <c r="BH5" s="3658"/>
      <c r="BI5" s="3659"/>
      <c r="BJ5" s="3659"/>
    </row>
    <row r="6" spans="1:62" ht="21" hidden="1">
      <c r="A6" s="3660">
        <v>1976</v>
      </c>
      <c r="B6" s="3650">
        <v>2546047</v>
      </c>
      <c r="C6" s="3650">
        <v>29715729</v>
      </c>
      <c r="D6" s="3650">
        <v>23385824</v>
      </c>
      <c r="E6" s="3650"/>
      <c r="F6" s="3650"/>
      <c r="G6" s="3650"/>
      <c r="H6" s="3650"/>
      <c r="I6" s="3650"/>
      <c r="J6" s="3650"/>
      <c r="K6" s="3650"/>
      <c r="L6" s="3650"/>
      <c r="M6" s="3650"/>
      <c r="N6" s="3650"/>
      <c r="O6" s="3650"/>
      <c r="P6" s="3650"/>
      <c r="Q6" s="3650"/>
      <c r="R6" s="3661">
        <v>244342622</v>
      </c>
    </row>
    <row r="7" spans="1:62" ht="21" hidden="1">
      <c r="A7" s="3660">
        <v>1977</v>
      </c>
      <c r="B7" s="3650">
        <v>3276527</v>
      </c>
      <c r="C7" s="3650">
        <v>32258319</v>
      </c>
      <c r="D7" s="3650">
        <v>25289508</v>
      </c>
      <c r="E7" s="3650"/>
      <c r="F7" s="3650"/>
      <c r="G7" s="3650"/>
      <c r="H7" s="3650"/>
      <c r="I7" s="3650"/>
      <c r="J7" s="3650"/>
      <c r="K7" s="3650"/>
      <c r="L7" s="3650"/>
      <c r="M7" s="3650"/>
      <c r="N7" s="3650"/>
      <c r="O7" s="3650"/>
      <c r="P7" s="3650"/>
      <c r="Q7" s="3650"/>
      <c r="R7" s="3661">
        <v>267486295</v>
      </c>
    </row>
    <row r="8" spans="1:62" ht="21" hidden="1">
      <c r="A8" s="3660">
        <v>1978</v>
      </c>
      <c r="B8" s="3650">
        <v>3428910</v>
      </c>
      <c r="C8" s="3650">
        <v>33867609</v>
      </c>
      <c r="D8" s="3650">
        <v>26432681</v>
      </c>
      <c r="E8" s="3650"/>
      <c r="F8" s="3650"/>
      <c r="G8" s="3650"/>
      <c r="H8" s="3650"/>
      <c r="I8" s="3650"/>
      <c r="J8" s="3650"/>
      <c r="K8" s="3650"/>
      <c r="L8" s="3650"/>
      <c r="M8" s="3650"/>
      <c r="N8" s="3650"/>
      <c r="O8" s="3650"/>
      <c r="P8" s="3650"/>
      <c r="Q8" s="3650"/>
      <c r="R8" s="3661">
        <v>280977245</v>
      </c>
    </row>
    <row r="9" spans="1:62" ht="21" hidden="1">
      <c r="A9" s="3660">
        <v>1979</v>
      </c>
      <c r="B9" s="3650">
        <v>3784501</v>
      </c>
      <c r="C9" s="3650">
        <v>36960959</v>
      </c>
      <c r="D9" s="3650">
        <v>28586421</v>
      </c>
      <c r="E9" s="3650"/>
      <c r="F9" s="3650"/>
      <c r="G9" s="3650"/>
      <c r="H9" s="3650"/>
      <c r="I9" s="3650"/>
      <c r="J9" s="3650"/>
      <c r="K9" s="3650"/>
      <c r="L9" s="3650"/>
      <c r="M9" s="3650"/>
      <c r="N9" s="3650"/>
      <c r="O9" s="3650"/>
      <c r="P9" s="3650"/>
      <c r="Q9" s="3650"/>
      <c r="R9" s="3661">
        <v>308344712</v>
      </c>
    </row>
    <row r="10" spans="1:62" ht="21" hidden="1">
      <c r="A10" s="3660">
        <v>1980</v>
      </c>
      <c r="B10" s="3650">
        <v>4295330</v>
      </c>
      <c r="C10" s="3650">
        <v>39918416</v>
      </c>
      <c r="D10" s="3650">
        <v>31398861</v>
      </c>
      <c r="E10" s="3650"/>
      <c r="F10" s="3650"/>
      <c r="G10" s="3650"/>
      <c r="H10" s="3650"/>
      <c r="I10" s="3650"/>
      <c r="J10" s="3650"/>
      <c r="K10" s="3650"/>
      <c r="L10" s="3650"/>
      <c r="M10" s="3650"/>
      <c r="N10" s="3650"/>
      <c r="O10" s="3650"/>
      <c r="P10" s="3650"/>
      <c r="Q10" s="3650"/>
      <c r="R10" s="3661">
        <v>335371860</v>
      </c>
    </row>
    <row r="11" spans="1:62" ht="21" hidden="1">
      <c r="A11" s="3660">
        <v>1981</v>
      </c>
      <c r="B11" s="3650">
        <v>4875700</v>
      </c>
      <c r="C11" s="3650">
        <v>44197113</v>
      </c>
      <c r="D11" s="3650">
        <v>34822155</v>
      </c>
      <c r="E11" s="3650"/>
      <c r="F11" s="3650"/>
      <c r="G11" s="3650"/>
      <c r="H11" s="3650"/>
      <c r="I11" s="3650"/>
      <c r="J11" s="3650"/>
      <c r="K11" s="3650"/>
      <c r="L11" s="3650"/>
      <c r="M11" s="3650"/>
      <c r="N11" s="3650"/>
      <c r="O11" s="3650"/>
      <c r="P11" s="3650"/>
      <c r="Q11" s="3650"/>
      <c r="R11" s="3661">
        <v>376961157</v>
      </c>
    </row>
    <row r="12" spans="1:62" ht="21" hidden="1">
      <c r="A12" s="3660">
        <v>1982</v>
      </c>
      <c r="B12" s="3650">
        <v>5134784</v>
      </c>
      <c r="C12" s="3650">
        <v>45722411</v>
      </c>
      <c r="D12" s="3650">
        <v>35817704</v>
      </c>
      <c r="E12" s="3650"/>
      <c r="F12" s="3650"/>
      <c r="G12" s="3650"/>
      <c r="H12" s="3650"/>
      <c r="I12" s="3650"/>
      <c r="J12" s="3650"/>
      <c r="K12" s="3650"/>
      <c r="L12" s="3650"/>
      <c r="M12" s="3650"/>
      <c r="N12" s="3650"/>
      <c r="O12" s="3650"/>
      <c r="P12" s="3650"/>
      <c r="Q12" s="3650"/>
      <c r="R12" s="3661">
        <v>392655183</v>
      </c>
    </row>
    <row r="13" spans="1:62" ht="21" hidden="1">
      <c r="A13" s="3660">
        <v>1983</v>
      </c>
      <c r="B13" s="3650">
        <v>5138793</v>
      </c>
      <c r="C13" s="3650">
        <v>46716222</v>
      </c>
      <c r="D13" s="3650">
        <v>36045922</v>
      </c>
      <c r="E13" s="3650"/>
      <c r="F13" s="3650"/>
      <c r="G13" s="3650"/>
      <c r="H13" s="3650"/>
      <c r="I13" s="3650"/>
      <c r="J13" s="3650"/>
      <c r="K13" s="3650"/>
      <c r="L13" s="3650"/>
      <c r="M13" s="3650"/>
      <c r="N13" s="3650"/>
      <c r="O13" s="3650"/>
      <c r="P13" s="3650"/>
      <c r="Q13" s="3650"/>
      <c r="R13" s="3661">
        <v>393372638</v>
      </c>
    </row>
    <row r="14" spans="1:62" ht="21" hidden="1">
      <c r="A14" s="3660">
        <v>1984</v>
      </c>
      <c r="B14" s="3650">
        <v>5979556</v>
      </c>
      <c r="C14" s="3650">
        <v>56297146</v>
      </c>
      <c r="D14" s="3650">
        <v>41708399</v>
      </c>
      <c r="E14" s="3650"/>
      <c r="F14" s="3650"/>
      <c r="G14" s="3650"/>
      <c r="H14" s="3650"/>
      <c r="I14" s="3650"/>
      <c r="J14" s="3650"/>
      <c r="K14" s="3650"/>
      <c r="L14" s="3650"/>
      <c r="M14" s="3650"/>
      <c r="N14" s="3650"/>
      <c r="O14" s="3650"/>
      <c r="P14" s="3650"/>
      <c r="Q14" s="3650"/>
      <c r="R14" s="3661">
        <v>459955413</v>
      </c>
    </row>
    <row r="15" spans="1:62" ht="21" hidden="1">
      <c r="A15" s="3660">
        <v>1985</v>
      </c>
      <c r="B15" s="3650">
        <v>6431444</v>
      </c>
      <c r="C15" s="3650">
        <v>61468590</v>
      </c>
      <c r="D15" s="3650">
        <v>44737026</v>
      </c>
      <c r="E15" s="3650"/>
      <c r="F15" s="3650"/>
      <c r="G15" s="3650"/>
      <c r="H15" s="3650"/>
      <c r="I15" s="3650"/>
      <c r="J15" s="3650"/>
      <c r="K15" s="3650"/>
      <c r="L15" s="3650"/>
      <c r="M15" s="3650"/>
      <c r="N15" s="3650"/>
      <c r="O15" s="3650"/>
      <c r="P15" s="3650"/>
      <c r="Q15" s="3650"/>
      <c r="R15" s="3661">
        <v>496962733</v>
      </c>
    </row>
    <row r="16" spans="1:62" ht="21" hidden="1">
      <c r="A16" s="3660">
        <v>1986</v>
      </c>
      <c r="B16" s="3650">
        <v>7361735</v>
      </c>
      <c r="C16" s="3650">
        <v>67799337</v>
      </c>
      <c r="D16" s="3650">
        <v>47728160</v>
      </c>
      <c r="E16" s="3650"/>
      <c r="F16" s="3650"/>
      <c r="G16" s="3650"/>
      <c r="H16" s="3650"/>
      <c r="I16" s="3650"/>
      <c r="J16" s="3650"/>
      <c r="K16" s="3650"/>
      <c r="L16" s="3650"/>
      <c r="M16" s="3650"/>
      <c r="N16" s="3650"/>
      <c r="O16" s="3650"/>
      <c r="P16" s="3650"/>
      <c r="Q16" s="3650"/>
      <c r="R16" s="3661">
        <v>549251165</v>
      </c>
    </row>
    <row r="17" spans="1:26" ht="21" hidden="1">
      <c r="A17" s="3660">
        <v>1987</v>
      </c>
      <c r="B17" s="3650">
        <v>7878379</v>
      </c>
      <c r="C17" s="3650">
        <v>74111848</v>
      </c>
      <c r="D17" s="3650">
        <v>51165383</v>
      </c>
      <c r="E17" s="3650"/>
      <c r="F17" s="3650"/>
      <c r="G17" s="3650"/>
      <c r="H17" s="3650"/>
      <c r="I17" s="3650"/>
      <c r="J17" s="3650"/>
      <c r="K17" s="3650"/>
      <c r="L17" s="3650"/>
      <c r="M17" s="3650"/>
      <c r="N17" s="3650"/>
      <c r="O17" s="3650"/>
      <c r="P17" s="3650"/>
      <c r="Q17" s="3650"/>
      <c r="R17" s="3661">
        <v>596273469</v>
      </c>
    </row>
    <row r="18" spans="1:26" ht="21" hidden="1">
      <c r="A18" s="3660">
        <v>1988</v>
      </c>
      <c r="B18" s="3650">
        <v>8722721</v>
      </c>
      <c r="C18" s="3650">
        <v>77474743</v>
      </c>
      <c r="D18" s="3650">
        <v>53783268</v>
      </c>
      <c r="E18" s="3650"/>
      <c r="F18" s="3650"/>
      <c r="G18" s="3650"/>
      <c r="H18" s="3650"/>
      <c r="I18" s="3650"/>
      <c r="J18" s="3650"/>
      <c r="K18" s="3650"/>
      <c r="L18" s="3650"/>
      <c r="M18" s="3650"/>
      <c r="N18" s="3650"/>
      <c r="O18" s="3650"/>
      <c r="P18" s="3650"/>
      <c r="Q18" s="3650"/>
      <c r="R18" s="3661">
        <v>631033688</v>
      </c>
    </row>
    <row r="19" spans="1:26" ht="21" hidden="1">
      <c r="A19" s="3660">
        <v>1989</v>
      </c>
      <c r="B19" s="3650">
        <v>9297316</v>
      </c>
      <c r="C19" s="3650">
        <v>83033893</v>
      </c>
      <c r="D19" s="3650">
        <v>57210121</v>
      </c>
      <c r="E19" s="3650"/>
      <c r="F19" s="3650"/>
      <c r="G19" s="3650"/>
      <c r="H19" s="3650"/>
      <c r="I19" s="3650"/>
      <c r="J19" s="3650"/>
      <c r="K19" s="3650"/>
      <c r="L19" s="3650"/>
      <c r="M19" s="3650"/>
      <c r="N19" s="3650"/>
      <c r="O19" s="3650"/>
      <c r="P19" s="3650"/>
      <c r="Q19" s="3650"/>
      <c r="R19" s="3661">
        <v>672705116</v>
      </c>
    </row>
    <row r="20" spans="1:26" ht="21" hidden="1">
      <c r="A20" s="3660">
        <v>1990</v>
      </c>
      <c r="B20" s="3650">
        <v>11805283</v>
      </c>
      <c r="C20" s="3650">
        <v>90219268</v>
      </c>
      <c r="D20" s="3650">
        <v>60153433</v>
      </c>
      <c r="E20" s="3650"/>
      <c r="F20" s="3650"/>
      <c r="G20" s="3650"/>
      <c r="H20" s="3650"/>
      <c r="I20" s="3650"/>
      <c r="J20" s="3650"/>
      <c r="K20" s="3650"/>
      <c r="L20" s="3650"/>
      <c r="M20" s="3650"/>
      <c r="N20" s="3650"/>
      <c r="O20" s="3650"/>
      <c r="P20" s="3650"/>
      <c r="Q20" s="3650"/>
      <c r="R20" s="3661">
        <v>743181436</v>
      </c>
    </row>
    <row r="21" spans="1:26" ht="21" hidden="1">
      <c r="A21" s="3660">
        <v>1991</v>
      </c>
      <c r="B21" s="3650">
        <v>12581423</v>
      </c>
      <c r="C21" s="3650">
        <v>96077818</v>
      </c>
      <c r="D21" s="3650">
        <v>63478062</v>
      </c>
      <c r="E21" s="3650"/>
      <c r="F21" s="3650"/>
      <c r="G21" s="3650"/>
      <c r="H21" s="3650"/>
      <c r="I21" s="3650"/>
      <c r="J21" s="3650"/>
      <c r="K21" s="3650"/>
      <c r="L21" s="3650"/>
      <c r="M21" s="3650"/>
      <c r="N21" s="3650"/>
      <c r="O21" s="3650"/>
      <c r="P21" s="3650"/>
      <c r="Q21" s="3650"/>
      <c r="R21" s="3661">
        <v>794513142</v>
      </c>
    </row>
    <row r="22" spans="1:26" ht="21" hidden="1">
      <c r="A22" s="3660">
        <v>1992</v>
      </c>
      <c r="B22" s="3650">
        <v>14326100</v>
      </c>
      <c r="C22" s="3650">
        <v>98197652</v>
      </c>
      <c r="D22" s="3650">
        <v>64334728</v>
      </c>
      <c r="E22" s="3650"/>
      <c r="F22" s="3650"/>
      <c r="G22" s="3650"/>
      <c r="H22" s="3650"/>
      <c r="I22" s="3650"/>
      <c r="J22" s="3650"/>
      <c r="K22" s="3650"/>
      <c r="L22" s="3650"/>
      <c r="M22" s="3650"/>
      <c r="N22" s="3650"/>
      <c r="O22" s="3650"/>
      <c r="P22" s="3650"/>
      <c r="Q22" s="3650"/>
      <c r="R22" s="3661">
        <v>815471315</v>
      </c>
    </row>
    <row r="23" spans="1:26" ht="21" hidden="1">
      <c r="A23" s="3660">
        <v>1993</v>
      </c>
      <c r="B23" s="3650">
        <v>14082227</v>
      </c>
      <c r="C23" s="3650">
        <v>96815707</v>
      </c>
      <c r="D23" s="3650">
        <v>63476558</v>
      </c>
      <c r="E23" s="3650"/>
      <c r="F23" s="3650"/>
      <c r="G23" s="3650"/>
      <c r="H23" s="3650"/>
      <c r="I23" s="3650"/>
      <c r="J23" s="3650"/>
      <c r="K23" s="3650"/>
      <c r="L23" s="3650"/>
      <c r="M23" s="3650"/>
      <c r="N23" s="3650"/>
      <c r="O23" s="3650"/>
      <c r="P23" s="3650"/>
      <c r="Q23" s="3650"/>
      <c r="R23" s="3661">
        <v>807093931</v>
      </c>
    </row>
    <row r="24" spans="1:26" ht="21" hidden="1">
      <c r="A24" s="3660">
        <v>1994</v>
      </c>
      <c r="B24" s="3650">
        <v>16006357</v>
      </c>
      <c r="C24" s="3650">
        <v>97394634</v>
      </c>
      <c r="D24" s="3650">
        <v>63267765</v>
      </c>
      <c r="E24" s="3650"/>
      <c r="F24" s="3650"/>
      <c r="G24" s="3650"/>
      <c r="H24" s="3650"/>
      <c r="I24" s="3650"/>
      <c r="J24" s="3650"/>
      <c r="K24" s="3650"/>
      <c r="L24" s="3650"/>
      <c r="M24" s="3650"/>
      <c r="N24" s="3650"/>
      <c r="O24" s="3650"/>
      <c r="P24" s="3650"/>
      <c r="Q24" s="3650"/>
      <c r="R24" s="3661">
        <v>823849796</v>
      </c>
    </row>
    <row r="25" spans="1:26" ht="21" hidden="1">
      <c r="A25" s="3660">
        <v>1995</v>
      </c>
      <c r="B25" s="3650">
        <v>17933752</v>
      </c>
      <c r="C25" s="3650">
        <v>97129177</v>
      </c>
      <c r="D25" s="3650">
        <v>63094311</v>
      </c>
      <c r="E25" s="3650"/>
      <c r="F25" s="3650"/>
      <c r="G25" s="3650"/>
      <c r="H25" s="3650"/>
      <c r="I25" s="3650"/>
      <c r="J25" s="3650"/>
      <c r="K25" s="3650"/>
      <c r="L25" s="3650"/>
      <c r="M25" s="3650"/>
      <c r="N25" s="3650"/>
      <c r="O25" s="3650"/>
      <c r="P25" s="3650"/>
      <c r="Q25" s="3650"/>
      <c r="R25" s="3661">
        <v>824586457</v>
      </c>
    </row>
    <row r="26" spans="1:26" ht="21" hidden="1">
      <c r="A26" s="3660">
        <v>1996</v>
      </c>
      <c r="B26" s="3650">
        <v>18982887</v>
      </c>
      <c r="C26" s="3650">
        <v>100257862</v>
      </c>
      <c r="D26" s="3650">
        <v>65013110</v>
      </c>
      <c r="E26" s="3650"/>
      <c r="F26" s="3650"/>
      <c r="G26" s="3650"/>
      <c r="H26" s="3650"/>
      <c r="I26" s="3650"/>
      <c r="J26" s="3650"/>
      <c r="K26" s="3650"/>
      <c r="L26" s="3650"/>
      <c r="M26" s="3650"/>
      <c r="N26" s="3650"/>
      <c r="O26" s="3650"/>
      <c r="P26" s="3650"/>
      <c r="Q26" s="3650"/>
      <c r="R26" s="3661">
        <v>859190995</v>
      </c>
    </row>
    <row r="27" spans="1:26" ht="21" hidden="1">
      <c r="A27" s="3660">
        <v>1997</v>
      </c>
      <c r="B27" s="3650">
        <v>19924478</v>
      </c>
      <c r="C27" s="3650">
        <v>105084291</v>
      </c>
      <c r="D27" s="3650">
        <v>68024148</v>
      </c>
      <c r="E27" s="3650"/>
      <c r="F27" s="3650"/>
      <c r="G27" s="3650"/>
      <c r="H27" s="3650"/>
      <c r="I27" s="3650"/>
      <c r="J27" s="3650"/>
      <c r="K27" s="3650"/>
      <c r="L27" s="3650"/>
      <c r="M27" s="3650"/>
      <c r="N27" s="3650"/>
      <c r="O27" s="3650"/>
      <c r="P27" s="3650"/>
      <c r="Q27" s="3650"/>
      <c r="R27" s="3661">
        <v>902050614</v>
      </c>
    </row>
    <row r="28" spans="1:26" ht="21" hidden="1">
      <c r="A28" s="3662">
        <v>1999</v>
      </c>
      <c r="B28" s="3663">
        <v>22975860</v>
      </c>
      <c r="C28" s="3663">
        <v>110834725</v>
      </c>
      <c r="D28" s="3663">
        <v>72114201</v>
      </c>
      <c r="E28" s="3663">
        <v>27825636</v>
      </c>
      <c r="F28" s="3663">
        <v>74698964</v>
      </c>
      <c r="G28" s="3663">
        <v>170812639</v>
      </c>
      <c r="H28" s="3663">
        <v>6514888</v>
      </c>
      <c r="I28" s="3663">
        <v>9214193</v>
      </c>
      <c r="J28" s="3663">
        <v>16731674</v>
      </c>
      <c r="K28" s="3663">
        <v>18743457</v>
      </c>
      <c r="L28" s="3663">
        <v>13836275</v>
      </c>
      <c r="M28" s="3663">
        <v>71144782</v>
      </c>
      <c r="N28" s="3663">
        <v>205707921</v>
      </c>
      <c r="O28" s="3663">
        <v>23244564</v>
      </c>
      <c r="P28" s="3663">
        <v>7818803</v>
      </c>
      <c r="Q28" s="3663">
        <v>26752797</v>
      </c>
      <c r="R28" s="3664">
        <f t="shared" ref="R28:R44" si="0">SUM(B28:Q28)</f>
        <v>878971379</v>
      </c>
      <c r="V28" s="3652"/>
    </row>
    <row r="29" spans="1:26" ht="21" hidden="1">
      <c r="A29" s="3662">
        <v>2000</v>
      </c>
      <c r="B29" s="3663">
        <v>27473857</v>
      </c>
      <c r="C29" s="3663">
        <v>113926564</v>
      </c>
      <c r="D29" s="3663">
        <v>74752683</v>
      </c>
      <c r="E29" s="3663">
        <v>28256895</v>
      </c>
      <c r="F29" s="3663">
        <v>87656905</v>
      </c>
      <c r="G29" s="3663">
        <v>176299516</v>
      </c>
      <c r="H29" s="3663">
        <v>6930079</v>
      </c>
      <c r="I29" s="3663">
        <v>9468849</v>
      </c>
      <c r="J29" s="3663">
        <v>16995597</v>
      </c>
      <c r="K29" s="3663">
        <v>19712219</v>
      </c>
      <c r="L29" s="3663">
        <v>14663420</v>
      </c>
      <c r="M29" s="3663">
        <v>77339879</v>
      </c>
      <c r="N29" s="3663">
        <v>217908946</v>
      </c>
      <c r="O29" s="3663">
        <v>24474812</v>
      </c>
      <c r="P29" s="3663">
        <v>8495785</v>
      </c>
      <c r="Q29" s="3663">
        <v>27529743</v>
      </c>
      <c r="R29" s="3664">
        <f t="shared" si="0"/>
        <v>931885749</v>
      </c>
      <c r="S29" s="3665"/>
      <c r="T29" s="3665"/>
      <c r="U29" s="3665"/>
      <c r="V29" s="3652"/>
      <c r="W29" s="3658"/>
      <c r="X29" s="3658"/>
      <c r="Y29" s="3658"/>
      <c r="Z29" s="3658"/>
    </row>
    <row r="30" spans="1:26" ht="21" hidden="1">
      <c r="A30" s="3662">
        <v>2001</v>
      </c>
      <c r="B30" s="3663">
        <v>28787326</v>
      </c>
      <c r="C30" s="3663">
        <v>117598161</v>
      </c>
      <c r="D30" s="3663">
        <v>76652244</v>
      </c>
      <c r="E30" s="3663">
        <v>29798959</v>
      </c>
      <c r="F30" s="3663">
        <v>92972079</v>
      </c>
      <c r="G30" s="3663">
        <v>181348752</v>
      </c>
      <c r="H30" s="3663">
        <v>7128512</v>
      </c>
      <c r="I30" s="3663">
        <v>9765222</v>
      </c>
      <c r="J30" s="3663">
        <v>17441228</v>
      </c>
      <c r="K30" s="3663">
        <v>20634131</v>
      </c>
      <c r="L30" s="3663">
        <v>16125548</v>
      </c>
      <c r="M30" s="3663">
        <v>80660052</v>
      </c>
      <c r="N30" s="3663">
        <v>224822288</v>
      </c>
      <c r="O30" s="3663">
        <v>25731533</v>
      </c>
      <c r="P30" s="3663">
        <v>9062178</v>
      </c>
      <c r="Q30" s="3663">
        <v>29051498</v>
      </c>
      <c r="R30" s="3664">
        <f t="shared" si="0"/>
        <v>967579711</v>
      </c>
      <c r="S30" s="3665"/>
      <c r="T30" s="3665"/>
      <c r="U30" s="3665"/>
      <c r="V30" s="3652"/>
      <c r="W30" s="3658"/>
      <c r="X30" s="3658"/>
      <c r="Y30" s="3658"/>
      <c r="Z30" s="3658"/>
    </row>
    <row r="31" spans="1:26" ht="21" hidden="1">
      <c r="A31" s="3662">
        <v>2002</v>
      </c>
      <c r="B31" s="3663">
        <v>30896721.654999994</v>
      </c>
      <c r="C31" s="3663">
        <v>119201197.20000002</v>
      </c>
      <c r="D31" s="3663">
        <v>77443208.189999998</v>
      </c>
      <c r="E31" s="3663">
        <v>31297556</v>
      </c>
      <c r="F31" s="3663">
        <v>103954957</v>
      </c>
      <c r="G31" s="3663">
        <v>183087616</v>
      </c>
      <c r="H31" s="3663">
        <v>7069763</v>
      </c>
      <c r="I31" s="3663">
        <v>9887941</v>
      </c>
      <c r="J31" s="3663">
        <v>17313123</v>
      </c>
      <c r="K31" s="3663">
        <v>21202694</v>
      </c>
      <c r="L31" s="3663">
        <v>18071000</v>
      </c>
      <c r="M31" s="3663">
        <v>82022230</v>
      </c>
      <c r="N31" s="3663">
        <v>227353040</v>
      </c>
      <c r="O31" s="3663">
        <v>26387937</v>
      </c>
      <c r="P31" s="3663">
        <v>9711231</v>
      </c>
      <c r="Q31" s="3663">
        <v>29769352</v>
      </c>
      <c r="R31" s="3664">
        <f t="shared" si="0"/>
        <v>994669567.04500008</v>
      </c>
      <c r="S31" s="3665"/>
      <c r="T31" s="3665"/>
      <c r="U31" s="3665"/>
      <c r="V31" s="3652"/>
      <c r="W31" s="3658"/>
      <c r="X31" s="3658"/>
      <c r="Y31" s="3658"/>
      <c r="Z31" s="3658"/>
    </row>
    <row r="32" spans="1:26" ht="21" hidden="1">
      <c r="A32" s="3662">
        <v>2003</v>
      </c>
      <c r="B32" s="3663">
        <v>31386698</v>
      </c>
      <c r="C32" s="3663">
        <v>120915859</v>
      </c>
      <c r="D32" s="3663">
        <v>78362460</v>
      </c>
      <c r="E32" s="3663">
        <v>32132864</v>
      </c>
      <c r="F32" s="3663">
        <v>106803011</v>
      </c>
      <c r="G32" s="3663">
        <v>190985943</v>
      </c>
      <c r="H32" s="3663">
        <v>7178766</v>
      </c>
      <c r="I32" s="3663">
        <v>10021712</v>
      </c>
      <c r="J32" s="3663">
        <v>17564153</v>
      </c>
      <c r="K32" s="3663">
        <v>21877293</v>
      </c>
      <c r="L32" s="3663">
        <v>18339515</v>
      </c>
      <c r="M32" s="3663">
        <v>84357924</v>
      </c>
      <c r="N32" s="3663">
        <f>231610732-16010706-38156722</f>
        <v>177443304</v>
      </c>
      <c r="O32" s="3663">
        <v>26819428</v>
      </c>
      <c r="P32" s="3663">
        <v>9858744</v>
      </c>
      <c r="Q32" s="3663">
        <v>30953163</v>
      </c>
      <c r="R32" s="3664">
        <f t="shared" si="0"/>
        <v>965000837</v>
      </c>
      <c r="S32" s="3665"/>
      <c r="T32" s="3665"/>
      <c r="U32" s="3665"/>
      <c r="V32" s="3652"/>
      <c r="W32" s="3658"/>
      <c r="X32" s="3658"/>
      <c r="Y32" s="3658"/>
      <c r="Z32" s="3658"/>
    </row>
    <row r="33" spans="1:26" ht="21" hidden="1">
      <c r="A33" s="3662">
        <v>2004</v>
      </c>
      <c r="B33" s="3663">
        <v>32690042.746189564</v>
      </c>
      <c r="C33" s="3663">
        <v>121915737.81172976</v>
      </c>
      <c r="D33" s="3663">
        <v>77889241.149079069</v>
      </c>
      <c r="E33" s="3663">
        <v>33747987</v>
      </c>
      <c r="F33" s="3663">
        <v>117518755</v>
      </c>
      <c r="G33" s="3663">
        <v>191812508</v>
      </c>
      <c r="H33" s="3663">
        <v>7343242</v>
      </c>
      <c r="I33" s="3663">
        <v>9968950</v>
      </c>
      <c r="J33" s="3663">
        <v>17178540</v>
      </c>
      <c r="K33" s="3663">
        <v>22489345</v>
      </c>
      <c r="L33" s="3663">
        <v>18634905</v>
      </c>
      <c r="M33" s="3663">
        <v>87242881</v>
      </c>
      <c r="N33" s="3663">
        <f>233010461-16349136-40510422</f>
        <v>176150903</v>
      </c>
      <c r="O33" s="3663">
        <v>26412712</v>
      </c>
      <c r="P33" s="3663">
        <v>9985054</v>
      </c>
      <c r="Q33" s="3663">
        <v>32383338</v>
      </c>
      <c r="R33" s="3664">
        <f t="shared" si="0"/>
        <v>983364141.70699835</v>
      </c>
      <c r="S33" s="3665"/>
      <c r="T33" s="3665"/>
      <c r="U33" s="3665"/>
      <c r="V33" s="3652"/>
      <c r="W33" s="3658"/>
      <c r="X33" s="3658"/>
      <c r="Y33" s="3658"/>
      <c r="Z33" s="3658"/>
    </row>
    <row r="34" spans="1:26" ht="21" hidden="1">
      <c r="A34" s="3662">
        <v>2005</v>
      </c>
      <c r="B34" s="3663">
        <v>33696184.856189571</v>
      </c>
      <c r="C34" s="3663">
        <v>124874105.54444827</v>
      </c>
      <c r="D34" s="3663">
        <v>78929474.384079069</v>
      </c>
      <c r="E34" s="3663">
        <v>35931027</v>
      </c>
      <c r="F34" s="3663">
        <v>128532337</v>
      </c>
      <c r="G34" s="3663">
        <v>195251210</v>
      </c>
      <c r="H34" s="3663">
        <v>7598569</v>
      </c>
      <c r="I34" s="3663">
        <v>10099818</v>
      </c>
      <c r="J34" s="3663">
        <v>17173419</v>
      </c>
      <c r="K34" s="3663">
        <v>23014419</v>
      </c>
      <c r="L34" s="3663">
        <v>19186666</v>
      </c>
      <c r="M34" s="3663">
        <v>90343396</v>
      </c>
      <c r="N34" s="3663">
        <f>240172228-16642165-41827184</f>
        <v>181702879</v>
      </c>
      <c r="O34" s="3663">
        <v>26547810</v>
      </c>
      <c r="P34" s="3663">
        <v>10255208</v>
      </c>
      <c r="Q34" s="3663">
        <v>34152780</v>
      </c>
      <c r="R34" s="3664">
        <f t="shared" si="0"/>
        <v>1017289302.7847168</v>
      </c>
      <c r="S34" s="3665"/>
      <c r="T34" s="3665"/>
      <c r="U34" s="3665"/>
      <c r="V34" s="3652"/>
      <c r="W34" s="3658"/>
      <c r="X34" s="3658"/>
      <c r="Y34" s="3658"/>
      <c r="Z34" s="3658"/>
    </row>
    <row r="35" spans="1:26" ht="21" hidden="1">
      <c r="A35" s="3662">
        <v>2006</v>
      </c>
      <c r="B35" s="3663">
        <v>34089286</v>
      </c>
      <c r="C35" s="3663">
        <v>124351153</v>
      </c>
      <c r="D35" s="3663">
        <v>76085538</v>
      </c>
      <c r="E35" s="3663">
        <v>36654617</v>
      </c>
      <c r="F35" s="3663">
        <v>138587242</v>
      </c>
      <c r="G35" s="3663">
        <v>192152673</v>
      </c>
      <c r="H35" s="3663">
        <v>7570790</v>
      </c>
      <c r="I35" s="3663">
        <v>10162502</v>
      </c>
      <c r="J35" s="3663">
        <v>17514736</v>
      </c>
      <c r="K35" s="3663">
        <v>22660743</v>
      </c>
      <c r="L35" s="3663">
        <v>19141674</v>
      </c>
      <c r="M35" s="3663">
        <v>90493043</v>
      </c>
      <c r="N35" s="3663">
        <f>239076505-16754167-45477340</f>
        <v>176844998</v>
      </c>
      <c r="O35" s="3663">
        <v>26146127</v>
      </c>
      <c r="P35" s="3663">
        <v>10298659</v>
      </c>
      <c r="Q35" s="3663">
        <v>34961547</v>
      </c>
      <c r="R35" s="3664">
        <f t="shared" si="0"/>
        <v>1017715328</v>
      </c>
      <c r="S35" s="3665"/>
      <c r="T35" s="3665"/>
      <c r="U35" s="3665"/>
      <c r="V35" s="3652"/>
      <c r="W35" s="3658"/>
      <c r="X35" s="3658"/>
      <c r="Y35" s="3658"/>
      <c r="Z35" s="3658"/>
    </row>
    <row r="36" spans="1:26" ht="21">
      <c r="A36" s="3662">
        <v>2007</v>
      </c>
      <c r="B36" s="3663">
        <v>35213023</v>
      </c>
      <c r="C36" s="3663">
        <v>122943120</v>
      </c>
      <c r="D36" s="3663">
        <v>73911172</v>
      </c>
      <c r="E36" s="3663">
        <v>36403169</v>
      </c>
      <c r="F36" s="3663">
        <v>144061470</v>
      </c>
      <c r="G36" s="3663">
        <v>191855234</v>
      </c>
      <c r="H36" s="3663">
        <v>7725382</v>
      </c>
      <c r="I36" s="3663">
        <v>10124249</v>
      </c>
      <c r="J36" s="3663">
        <v>17563889</v>
      </c>
      <c r="K36" s="3663">
        <v>22395713</v>
      </c>
      <c r="L36" s="3663">
        <v>19251961</v>
      </c>
      <c r="M36" s="3663">
        <v>90268567</v>
      </c>
      <c r="N36" s="3663">
        <f>241258923-17258961-45249229</f>
        <v>178750733</v>
      </c>
      <c r="O36" s="3663">
        <v>26586465</v>
      </c>
      <c r="P36" s="3663">
        <v>10579693</v>
      </c>
      <c r="Q36" s="3663">
        <v>36043187</v>
      </c>
      <c r="R36" s="3664">
        <f t="shared" si="0"/>
        <v>1023677027</v>
      </c>
      <c r="S36" s="3665"/>
      <c r="T36" s="3665"/>
      <c r="U36" s="3665"/>
      <c r="V36" s="3652"/>
      <c r="W36" s="3658"/>
      <c r="X36" s="3658"/>
      <c r="Y36" s="3658"/>
      <c r="Z36" s="3658"/>
    </row>
    <row r="37" spans="1:26" ht="21">
      <c r="A37" s="3662">
        <v>2008</v>
      </c>
      <c r="B37" s="3663">
        <v>37675499</v>
      </c>
      <c r="C37" s="3663">
        <v>125383857</v>
      </c>
      <c r="D37" s="3663">
        <v>74899462</v>
      </c>
      <c r="E37" s="3663">
        <v>37427299</v>
      </c>
      <c r="F37" s="3663">
        <v>153209449</v>
      </c>
      <c r="G37" s="3663">
        <v>193813007</v>
      </c>
      <c r="H37" s="3663">
        <v>7993189</v>
      </c>
      <c r="I37" s="3663">
        <v>10357262</v>
      </c>
      <c r="J37" s="3663">
        <v>17811296</v>
      </c>
      <c r="K37" s="3663">
        <v>22699732</v>
      </c>
      <c r="L37" s="3663">
        <v>19892774</v>
      </c>
      <c r="M37" s="3663">
        <v>79980030</v>
      </c>
      <c r="N37" s="3663">
        <f>249929962-18630749-51008703</f>
        <v>180290510</v>
      </c>
      <c r="O37" s="3663">
        <v>27126733</v>
      </c>
      <c r="P37" s="3663">
        <v>11135246</v>
      </c>
      <c r="Q37" s="3663">
        <v>37116951</v>
      </c>
      <c r="R37" s="3664">
        <f t="shared" si="0"/>
        <v>1036812296</v>
      </c>
      <c r="S37" s="3665"/>
      <c r="T37" s="3665"/>
      <c r="U37" s="3665"/>
      <c r="V37" s="3652"/>
      <c r="W37" s="3658"/>
      <c r="X37" s="3658"/>
      <c r="Y37" s="3658"/>
      <c r="Z37" s="3658"/>
    </row>
    <row r="38" spans="1:26" ht="21">
      <c r="A38" s="3662">
        <v>2009</v>
      </c>
      <c r="B38" s="3663">
        <v>40387429</v>
      </c>
      <c r="C38" s="3663">
        <v>130381244</v>
      </c>
      <c r="D38" s="3663">
        <v>76911131</v>
      </c>
      <c r="E38" s="3663">
        <v>38967141</v>
      </c>
      <c r="F38" s="3663">
        <v>162415053</v>
      </c>
      <c r="G38" s="3663">
        <v>202202196</v>
      </c>
      <c r="H38" s="3663">
        <v>8322137</v>
      </c>
      <c r="I38" s="3663">
        <v>10817455</v>
      </c>
      <c r="J38" s="3663">
        <v>18061296</v>
      </c>
      <c r="K38" s="3663">
        <v>23236007</v>
      </c>
      <c r="L38" s="3663">
        <v>20848802</v>
      </c>
      <c r="M38" s="3663">
        <v>83311562</v>
      </c>
      <c r="N38" s="3663">
        <f>262033737-21024243-50913027</f>
        <v>190096467</v>
      </c>
      <c r="O38" s="3663">
        <v>28212704</v>
      </c>
      <c r="P38" s="3663">
        <v>11969824</v>
      </c>
      <c r="Q38" s="3663">
        <v>38449705</v>
      </c>
      <c r="R38" s="3664">
        <f t="shared" si="0"/>
        <v>1084590153</v>
      </c>
      <c r="S38" s="3665"/>
      <c r="T38" s="3665"/>
      <c r="U38" s="3665"/>
      <c r="V38" s="3652"/>
      <c r="W38" s="3658"/>
      <c r="X38" s="3658"/>
      <c r="Y38" s="3658"/>
      <c r="Z38" s="3658"/>
    </row>
    <row r="39" spans="1:26" ht="21">
      <c r="A39" s="3662">
        <v>2010</v>
      </c>
      <c r="B39" s="3663">
        <v>39044222</v>
      </c>
      <c r="C39" s="3663">
        <v>125529452</v>
      </c>
      <c r="D39" s="3663">
        <v>72442778</v>
      </c>
      <c r="E39" s="3663">
        <v>37420510</v>
      </c>
      <c r="F39" s="3663">
        <v>164419166</v>
      </c>
      <c r="G39" s="3663">
        <v>194908592</v>
      </c>
      <c r="H39" s="3663">
        <v>7978684</v>
      </c>
      <c r="I39" s="3663">
        <v>10409563</v>
      </c>
      <c r="J39" s="3663">
        <v>17243776</v>
      </c>
      <c r="K39" s="3663">
        <v>22157280</v>
      </c>
      <c r="L39" s="3663">
        <v>20002235</v>
      </c>
      <c r="M39" s="3663">
        <v>80314605</v>
      </c>
      <c r="N39" s="3663">
        <f>248053173-20705580-50267104</f>
        <v>177080489</v>
      </c>
      <c r="O39" s="3663">
        <v>27028286</v>
      </c>
      <c r="P39" s="3663">
        <v>11847744</v>
      </c>
      <c r="Q39" s="3663">
        <v>37378801</v>
      </c>
      <c r="R39" s="3664">
        <f t="shared" si="0"/>
        <v>1045206183</v>
      </c>
      <c r="S39" s="3665"/>
      <c r="T39" s="3665"/>
      <c r="U39" s="3665"/>
      <c r="V39" s="3652"/>
      <c r="W39" s="3658"/>
      <c r="X39" s="3658"/>
      <c r="Y39" s="3658"/>
      <c r="Z39" s="3658"/>
    </row>
    <row r="40" spans="1:26" ht="21">
      <c r="A40" s="3662">
        <v>2011</v>
      </c>
      <c r="B40" s="3663">
        <v>39172365</v>
      </c>
      <c r="C40" s="3663">
        <v>125182828</v>
      </c>
      <c r="D40" s="3663">
        <v>71536249</v>
      </c>
      <c r="E40" s="3663">
        <v>37190537</v>
      </c>
      <c r="F40" s="3663">
        <v>175842161</v>
      </c>
      <c r="G40" s="3663">
        <v>190670086</v>
      </c>
      <c r="H40" s="3663">
        <v>7896005</v>
      </c>
      <c r="I40" s="3663">
        <v>10345995</v>
      </c>
      <c r="J40" s="3663">
        <v>16949512</v>
      </c>
      <c r="K40" s="3663">
        <v>21772918</v>
      </c>
      <c r="L40" s="3663">
        <v>19846717</v>
      </c>
      <c r="M40" s="3663">
        <v>80232626</v>
      </c>
      <c r="N40" s="3663">
        <f>241119044-21043470-50424032</f>
        <v>169651542</v>
      </c>
      <c r="O40" s="3663">
        <v>26750801</v>
      </c>
      <c r="P40" s="3663">
        <v>12299238</v>
      </c>
      <c r="Q40" s="3663">
        <v>37816896</v>
      </c>
      <c r="R40" s="3664">
        <f t="shared" si="0"/>
        <v>1043156476</v>
      </c>
      <c r="V40" s="3652"/>
    </row>
    <row r="41" spans="1:26" ht="21">
      <c r="A41" s="3662">
        <v>2012</v>
      </c>
      <c r="B41" s="3663">
        <v>40109493</v>
      </c>
      <c r="C41" s="3663">
        <v>118723016</v>
      </c>
      <c r="D41" s="3663">
        <v>67650483</v>
      </c>
      <c r="E41" s="3663">
        <v>37302378</v>
      </c>
      <c r="F41" s="3663">
        <v>186417941</v>
      </c>
      <c r="G41" s="3663">
        <v>180268458</v>
      </c>
      <c r="H41" s="3663">
        <v>8330921</v>
      </c>
      <c r="I41" s="3663">
        <v>11354682</v>
      </c>
      <c r="J41" s="3663">
        <v>16275368</v>
      </c>
      <c r="K41" s="3663">
        <v>21756890</v>
      </c>
      <c r="L41" s="3663">
        <v>18976859</v>
      </c>
      <c r="M41" s="3663">
        <v>85628143</v>
      </c>
      <c r="N41" s="3714">
        <f>233843356-73254190</f>
        <v>160589166</v>
      </c>
      <c r="O41" s="3663">
        <v>26844940</v>
      </c>
      <c r="P41" s="3663">
        <v>13073588</v>
      </c>
      <c r="Q41" s="3663">
        <v>38563050</v>
      </c>
      <c r="R41" s="3664">
        <f t="shared" si="0"/>
        <v>1031865376</v>
      </c>
      <c r="V41" s="3652"/>
    </row>
    <row r="42" spans="1:26" ht="21">
      <c r="A42" s="3662">
        <v>2013</v>
      </c>
      <c r="B42" s="3663">
        <v>40109493</v>
      </c>
      <c r="C42" s="3663">
        <v>118723016</v>
      </c>
      <c r="D42" s="3663">
        <v>67650483</v>
      </c>
      <c r="E42" s="3663">
        <v>37302378</v>
      </c>
      <c r="F42" s="3663">
        <v>186417941</v>
      </c>
      <c r="G42" s="3663">
        <v>180268458</v>
      </c>
      <c r="H42" s="3663">
        <v>8330921</v>
      </c>
      <c r="I42" s="3663">
        <v>11354682</v>
      </c>
      <c r="J42" s="3663">
        <v>16275368</v>
      </c>
      <c r="K42" s="3663">
        <v>21756890</v>
      </c>
      <c r="L42" s="3663">
        <v>18976859</v>
      </c>
      <c r="M42" s="3663">
        <f>'2013-15 PFF Budget Ops Impact'!C14</f>
        <v>90103643.599999994</v>
      </c>
      <c r="N42" s="3714">
        <f>233843356-75085544</f>
        <v>158757812</v>
      </c>
      <c r="O42" s="3663">
        <v>26844940</v>
      </c>
      <c r="P42" s="3663">
        <v>13073588</v>
      </c>
      <c r="Q42" s="3663">
        <v>38563050</v>
      </c>
      <c r="R42" s="3664">
        <f t="shared" si="0"/>
        <v>1034509522.6</v>
      </c>
      <c r="V42" s="3652"/>
    </row>
    <row r="43" spans="1:26" ht="21">
      <c r="A43" s="3662">
        <v>2014</v>
      </c>
      <c r="B43" s="3663">
        <f>'2013-15 PFF Budget Ops Impact'!G28</f>
        <v>42146853.957666665</v>
      </c>
      <c r="C43" s="3663">
        <f>'2013-15 PFF Budget Ops Impact'!G26</f>
        <v>117973174.65491667</v>
      </c>
      <c r="D43" s="3663">
        <f>'2013-15 PFF Budget Ops Impact'!G24</f>
        <v>67308230.930783331</v>
      </c>
      <c r="E43" s="3663">
        <f>'2013-15 PFF Budget Ops Impact'!G32</f>
        <v>39026180.489591368</v>
      </c>
      <c r="F43" s="3663">
        <f>'2013-15 PFF Budget Ops Impact'!G30</f>
        <v>200314690.56650001</v>
      </c>
      <c r="G43" s="3663">
        <f>'2013-15 PFF Budget Ops Impact'!G8</f>
        <v>184795241.73316666</v>
      </c>
      <c r="H43" s="3663">
        <f>'2013-15 PFF Budget Ops Impact'!G9</f>
        <v>8988877.2669083327</v>
      </c>
      <c r="I43" s="3663">
        <f>'2013-15 PFF Budget Ops Impact'!G10</f>
        <v>12064986.434239998</v>
      </c>
      <c r="J43" s="3663">
        <f>'2013-15 PFF Budget Ops Impact'!G11</f>
        <v>16720236.794</v>
      </c>
      <c r="K43" s="3663">
        <f>'2013-15 PFF Budget Ops Impact'!G12</f>
        <v>22254858.616599999</v>
      </c>
      <c r="L43" s="3663">
        <f>'2013-15 PFF Budget Ops Impact'!G13</f>
        <v>19093239.793000001</v>
      </c>
      <c r="M43" s="3663">
        <f>'2013-15 PFF Budget Ops Impact'!G14</f>
        <v>95960975.622633323</v>
      </c>
      <c r="N43" s="3714">
        <f>'2013-15 PFF Budget Ops Impact'!G18-76962682</f>
        <v>167829566.17812002</v>
      </c>
      <c r="O43" s="3663">
        <f>'2013-15 PFF Budget Ops Impact'!G19</f>
        <v>27843362.248424999</v>
      </c>
      <c r="P43" s="3663">
        <f>'2013-15 PFF Budget Ops Impact'!G21</f>
        <v>13453988.670666667</v>
      </c>
      <c r="Q43" s="3663">
        <f>'2013-15 PFF Budget Ops Impact'!G20</f>
        <v>39018966.177733332</v>
      </c>
      <c r="R43" s="3664">
        <f t="shared" si="0"/>
        <v>1074793430.1349514</v>
      </c>
      <c r="V43" s="3652"/>
    </row>
    <row r="44" spans="1:26" ht="21">
      <c r="A44" s="3662">
        <v>2015</v>
      </c>
      <c r="B44" s="3663">
        <f>'2013-15 PFF Budget Ops Impact'!P28</f>
        <v>42146853.957666665</v>
      </c>
      <c r="C44" s="3663">
        <f>'2013-15 PFF Budget Ops Impact'!P26</f>
        <v>117973174.65491667</v>
      </c>
      <c r="D44" s="3663">
        <f>'2013-15 PFF Budget Ops Impact'!P24</f>
        <v>67308230.930783331</v>
      </c>
      <c r="E44" s="3663">
        <f>'2013-15 PFF Budget Ops Impact'!P32</f>
        <v>39026180.489591368</v>
      </c>
      <c r="F44" s="3663">
        <f>'2013-15 PFF Budget Ops Impact'!P30</f>
        <v>200314690.56650001</v>
      </c>
      <c r="G44" s="3663">
        <f>'2013-15 PFF Budget Ops Impact'!P8</f>
        <v>184795241.73316666</v>
      </c>
      <c r="H44" s="3663">
        <f>'2013-15 PFF Budget Ops Impact'!P9</f>
        <v>8988877.2669083327</v>
      </c>
      <c r="I44" s="3663">
        <f>'2013-15 PFF Budget Ops Impact'!P10</f>
        <v>12064986.434239998</v>
      </c>
      <c r="J44" s="3663">
        <f>'2013-15 PFF Budget Ops Impact'!P11</f>
        <v>16720236.794</v>
      </c>
      <c r="K44" s="3663">
        <f>'2013-15 PFF Budget Ops Impact'!P12</f>
        <v>22254858.616599999</v>
      </c>
      <c r="L44" s="3663">
        <f>'2013-15 PFF Budget Ops Impact'!P13</f>
        <v>19093239.793000001</v>
      </c>
      <c r="M44" s="3663">
        <f>'2013-15 PFF Budget Ops Impact'!P14</f>
        <v>95960975.622633323</v>
      </c>
      <c r="N44" s="3714">
        <f>'2013-15 PFF Budget Ops Impact'!P18-78886749</f>
        <v>165905499.17812002</v>
      </c>
      <c r="O44" s="3663">
        <f>'2013-15 PFF Budget Ops Impact'!P19</f>
        <v>27843362.248424999</v>
      </c>
      <c r="P44" s="3663">
        <f>'2013-15 PFF Budget Ops Impact'!P21</f>
        <v>13453988.670666667</v>
      </c>
      <c r="Q44" s="3663">
        <f>'2013-15 PFF Budget Ops Impact'!P20</f>
        <v>39018966.177733332</v>
      </c>
      <c r="R44" s="3664">
        <f t="shared" si="0"/>
        <v>1072869363.1349514</v>
      </c>
      <c r="V44" s="3652"/>
    </row>
    <row r="45" spans="1:26" ht="21">
      <c r="A45" s="3662" t="s">
        <v>418</v>
      </c>
      <c r="B45" s="3666">
        <f t="shared" ref="B45:R45" si="1">B44/B42-1</f>
        <v>5.0794981568744069E-2</v>
      </c>
      <c r="C45" s="3666">
        <f t="shared" si="1"/>
        <v>-6.315888614919718E-3</v>
      </c>
      <c r="D45" s="3666">
        <f t="shared" si="1"/>
        <v>-5.0591223305334054E-3</v>
      </c>
      <c r="E45" s="3666">
        <f t="shared" si="1"/>
        <v>4.6211597812648053E-2</v>
      </c>
      <c r="F45" s="3666">
        <f t="shared" si="1"/>
        <v>7.4546202430698427E-2</v>
      </c>
      <c r="G45" s="3666">
        <f t="shared" si="1"/>
        <v>2.5111346618201358E-2</v>
      </c>
      <c r="H45" s="3666">
        <f t="shared" si="1"/>
        <v>7.8977614468836332E-2</v>
      </c>
      <c r="I45" s="3666">
        <f t="shared" si="1"/>
        <v>6.2556083405946428E-2</v>
      </c>
      <c r="J45" s="3666">
        <f t="shared" si="1"/>
        <v>2.7333870054428333E-2</v>
      </c>
      <c r="K45" s="3666">
        <f t="shared" si="1"/>
        <v>2.2887858356594126E-2</v>
      </c>
      <c r="L45" s="3666">
        <f t="shared" si="1"/>
        <v>6.1327742910457506E-3</v>
      </c>
      <c r="M45" s="3666">
        <f t="shared" si="1"/>
        <v>6.5006605600057332E-2</v>
      </c>
      <c r="N45" s="3666">
        <f t="shared" si="1"/>
        <v>4.5022585585394737E-2</v>
      </c>
      <c r="O45" s="3666">
        <f t="shared" si="1"/>
        <v>3.7192195193023414E-2</v>
      </c>
      <c r="P45" s="3666">
        <f t="shared" si="1"/>
        <v>2.9096883783293892E-2</v>
      </c>
      <c r="Q45" s="3666">
        <f t="shared" si="1"/>
        <v>1.1822617187523532E-2</v>
      </c>
      <c r="R45" s="3667">
        <f t="shared" si="1"/>
        <v>3.7080219850023965E-2</v>
      </c>
      <c r="S45" s="3659"/>
      <c r="T45" s="3659"/>
      <c r="U45" s="3659"/>
      <c r="V45" s="3652"/>
      <c r="W45" s="3659"/>
      <c r="X45" s="3659"/>
      <c r="Y45" s="3659"/>
      <c r="Z45" s="3659"/>
    </row>
    <row r="46" spans="1:26" ht="21">
      <c r="A46" s="3662" t="s">
        <v>419</v>
      </c>
      <c r="B46" s="3666">
        <f t="shared" ref="B46:R46" si="2">B44/B40-1</f>
        <v>7.5933351424318341E-2</v>
      </c>
      <c r="C46" s="3666">
        <f t="shared" si="2"/>
        <v>-5.7592989871448896E-2</v>
      </c>
      <c r="D46" s="3666">
        <f t="shared" si="2"/>
        <v>-5.9103155789125394E-2</v>
      </c>
      <c r="E46" s="3666">
        <f t="shared" si="2"/>
        <v>4.935781082137547E-2</v>
      </c>
      <c r="F46" s="3666">
        <f t="shared" si="2"/>
        <v>0.13917327577940775</v>
      </c>
      <c r="G46" s="3666">
        <f t="shared" si="2"/>
        <v>-3.0811567719297828E-2</v>
      </c>
      <c r="H46" s="3666">
        <f t="shared" si="2"/>
        <v>0.13840825416249514</v>
      </c>
      <c r="I46" s="3666">
        <f t="shared" si="2"/>
        <v>0.1661504219014216</v>
      </c>
      <c r="J46" s="3666">
        <f t="shared" si="2"/>
        <v>-1.3526950274438621E-2</v>
      </c>
      <c r="K46" s="3666">
        <f t="shared" si="2"/>
        <v>2.2134865735497611E-2</v>
      </c>
      <c r="L46" s="3666">
        <f t="shared" si="2"/>
        <v>-3.7964828490273606E-2</v>
      </c>
      <c r="M46" s="3666">
        <f t="shared" si="2"/>
        <v>0.19603433673769222</v>
      </c>
      <c r="N46" s="3666">
        <f t="shared" si="2"/>
        <v>-2.2080806208528148E-2</v>
      </c>
      <c r="O46" s="3666">
        <f t="shared" si="2"/>
        <v>4.0842188180645556E-2</v>
      </c>
      <c r="P46" s="3666">
        <f t="shared" si="2"/>
        <v>9.3887984822040638E-2</v>
      </c>
      <c r="Q46" s="3666">
        <f t="shared" si="2"/>
        <v>3.1786590251440261E-2</v>
      </c>
      <c r="R46" s="3667">
        <f t="shared" si="2"/>
        <v>2.8483633873305214E-2</v>
      </c>
      <c r="S46" s="3659"/>
      <c r="T46" s="3659"/>
      <c r="U46" s="3659"/>
      <c r="V46" s="3652"/>
      <c r="W46" s="3659"/>
      <c r="X46" s="3659"/>
      <c r="Y46" s="3659"/>
      <c r="Z46" s="3659"/>
    </row>
    <row r="47" spans="1:26" ht="21.6" thickBot="1">
      <c r="A47" s="3668" t="s">
        <v>420</v>
      </c>
      <c r="B47" s="3669">
        <f>B44/B36-1</f>
        <v>0.19691098255513784</v>
      </c>
      <c r="C47" s="3669">
        <f t="shared" ref="C47:R47" si="3">C44/C36-1</f>
        <v>-4.0424753699786709E-2</v>
      </c>
      <c r="D47" s="3669">
        <f t="shared" si="3"/>
        <v>-8.9336170575358587E-2</v>
      </c>
      <c r="E47" s="3669">
        <f t="shared" si="3"/>
        <v>7.2054482113668827E-2</v>
      </c>
      <c r="F47" s="3669">
        <f>F44/F36-1</f>
        <v>0.39048067860545932</v>
      </c>
      <c r="G47" s="3669">
        <f t="shared" si="3"/>
        <v>-3.6798538771339095E-2</v>
      </c>
      <c r="H47" s="3669">
        <f t="shared" si="3"/>
        <v>0.1635511702733059</v>
      </c>
      <c r="I47" s="3669">
        <f t="shared" si="3"/>
        <v>0.19169198962214362</v>
      </c>
      <c r="J47" s="3669">
        <f t="shared" si="3"/>
        <v>-4.8033337377616059E-2</v>
      </c>
      <c r="K47" s="3669">
        <f t="shared" si="3"/>
        <v>-6.2893457957780008E-3</v>
      </c>
      <c r="L47" s="3669">
        <f t="shared" si="3"/>
        <v>-8.2444176465971131E-3</v>
      </c>
      <c r="M47" s="3669">
        <f t="shared" si="3"/>
        <v>6.3060806345062836E-2</v>
      </c>
      <c r="N47" s="3669">
        <f t="shared" si="3"/>
        <v>-7.1861153273592326E-2</v>
      </c>
      <c r="O47" s="3669">
        <f t="shared" si="3"/>
        <v>4.7275831834920456E-2</v>
      </c>
      <c r="P47" s="3669">
        <f t="shared" si="3"/>
        <v>0.27168044201912722</v>
      </c>
      <c r="Q47" s="3669">
        <f t="shared" si="3"/>
        <v>8.2561488742195044E-2</v>
      </c>
      <c r="R47" s="3670">
        <f t="shared" si="3"/>
        <v>4.8054547320569352E-2</v>
      </c>
      <c r="S47" s="3659"/>
      <c r="T47" s="3659"/>
      <c r="U47" s="3659"/>
      <c r="V47" s="3652"/>
      <c r="W47" s="3659"/>
      <c r="X47" s="3659"/>
      <c r="Y47" s="3659"/>
      <c r="Z47" s="3659"/>
    </row>
    <row r="48" spans="1:26" ht="21.6" thickBot="1">
      <c r="A48" s="3650"/>
      <c r="C48" s="3650"/>
      <c r="D48" s="3650"/>
      <c r="E48" s="3650"/>
      <c r="F48" s="3650"/>
      <c r="G48" s="3650"/>
      <c r="H48" s="3650"/>
      <c r="I48" s="3650"/>
      <c r="J48" s="3650"/>
      <c r="K48" s="3650"/>
      <c r="L48" s="3650"/>
      <c r="M48" s="3650"/>
      <c r="N48" s="3650"/>
      <c r="O48" s="3650"/>
      <c r="P48" s="3650"/>
      <c r="Q48" s="3650"/>
      <c r="R48" s="3651"/>
    </row>
    <row r="49" spans="1:27" ht="21.6" hidden="1" thickBot="1">
      <c r="A49" s="3672"/>
      <c r="B49" s="3650"/>
      <c r="C49" s="3673" t="e">
        <f>#REF!/#REF!</f>
        <v>#REF!</v>
      </c>
      <c r="D49" s="3673" t="e">
        <f>#REF!/#REF!</f>
        <v>#REF!</v>
      </c>
      <c r="E49" s="3673"/>
      <c r="F49" s="3673"/>
      <c r="G49" s="3673"/>
      <c r="H49" s="3673"/>
      <c r="I49" s="3673"/>
      <c r="J49" s="3673"/>
      <c r="K49" s="3673"/>
      <c r="L49" s="3673"/>
      <c r="M49" s="3673"/>
      <c r="N49" s="3673"/>
      <c r="O49" s="3673"/>
      <c r="P49" s="3673"/>
      <c r="Q49" s="3673"/>
      <c r="R49" s="3674" t="e">
        <f>#REF!/#REF!</f>
        <v>#REF!</v>
      </c>
      <c r="AA49" s="3675" t="e">
        <f>W29/Z29</f>
        <v>#DIV/0!</v>
      </c>
    </row>
    <row r="50" spans="1:27" ht="21.6" hidden="1" thickBot="1">
      <c r="A50" s="3672"/>
      <c r="B50" s="3650"/>
      <c r="C50" s="3673" t="e">
        <f>C28/#REF!</f>
        <v>#REF!</v>
      </c>
      <c r="D50" s="3673" t="e">
        <f>D28/#REF!</f>
        <v>#REF!</v>
      </c>
      <c r="E50" s="3673"/>
      <c r="F50" s="3673"/>
      <c r="G50" s="3673"/>
      <c r="H50" s="3673"/>
      <c r="I50" s="3673"/>
      <c r="J50" s="3673"/>
      <c r="K50" s="3673"/>
      <c r="L50" s="3673"/>
      <c r="M50" s="3673"/>
      <c r="N50" s="3673"/>
      <c r="O50" s="3673"/>
      <c r="P50" s="3673"/>
      <c r="Q50" s="3673"/>
      <c r="R50" s="3674" t="e">
        <f>B28/#REF!</f>
        <v>#REF!</v>
      </c>
      <c r="AA50" s="3675" t="e">
        <f t="shared" ref="AA50:AA59" si="4">W30/Z30</f>
        <v>#DIV/0!</v>
      </c>
    </row>
    <row r="51" spans="1:27" ht="21.6" hidden="1" thickBot="1">
      <c r="A51" s="3672"/>
      <c r="B51" s="3650"/>
      <c r="C51" s="3673" t="e">
        <f>C29/#REF!</f>
        <v>#REF!</v>
      </c>
      <c r="D51" s="3673" t="e">
        <f>D29/#REF!</f>
        <v>#REF!</v>
      </c>
      <c r="E51" s="3673"/>
      <c r="F51" s="3673"/>
      <c r="G51" s="3673"/>
      <c r="H51" s="3673"/>
      <c r="I51" s="3673"/>
      <c r="J51" s="3673"/>
      <c r="K51" s="3673"/>
      <c r="L51" s="3673"/>
      <c r="M51" s="3673"/>
      <c r="N51" s="3673"/>
      <c r="O51" s="3673"/>
      <c r="P51" s="3673"/>
      <c r="Q51" s="3673"/>
      <c r="R51" s="3674" t="e">
        <f>B29/#REF!</f>
        <v>#REF!</v>
      </c>
      <c r="AA51" s="3675" t="e">
        <f t="shared" si="4"/>
        <v>#DIV/0!</v>
      </c>
    </row>
    <row r="52" spans="1:27" ht="21.6" hidden="1" thickBot="1">
      <c r="A52" s="3672"/>
      <c r="B52" s="3650"/>
      <c r="C52" s="3673" t="e">
        <f>C30/#REF!</f>
        <v>#REF!</v>
      </c>
      <c r="D52" s="3673" t="e">
        <f>D30/#REF!</f>
        <v>#REF!</v>
      </c>
      <c r="E52" s="3673"/>
      <c r="F52" s="3673"/>
      <c r="G52" s="3673"/>
      <c r="H52" s="3673"/>
      <c r="I52" s="3673"/>
      <c r="J52" s="3673"/>
      <c r="K52" s="3673"/>
      <c r="L52" s="3673"/>
      <c r="M52" s="3673"/>
      <c r="N52" s="3673"/>
      <c r="O52" s="3673"/>
      <c r="P52" s="3673"/>
      <c r="Q52" s="3673"/>
      <c r="R52" s="3674" t="e">
        <f>B30/#REF!</f>
        <v>#REF!</v>
      </c>
      <c r="AA52" s="3675" t="e">
        <f t="shared" si="4"/>
        <v>#DIV/0!</v>
      </c>
    </row>
    <row r="53" spans="1:27" ht="21.6" hidden="1" thickBot="1">
      <c r="A53" s="3672"/>
      <c r="B53" s="3650"/>
      <c r="C53" s="3673" t="e">
        <f>C31/#REF!</f>
        <v>#REF!</v>
      </c>
      <c r="D53" s="3673" t="e">
        <f>D31/#REF!</f>
        <v>#REF!</v>
      </c>
      <c r="E53" s="3673"/>
      <c r="F53" s="3673"/>
      <c r="G53" s="3673"/>
      <c r="H53" s="3673"/>
      <c r="I53" s="3673"/>
      <c r="J53" s="3673"/>
      <c r="K53" s="3673"/>
      <c r="L53" s="3673"/>
      <c r="M53" s="3673"/>
      <c r="N53" s="3673"/>
      <c r="O53" s="3673"/>
      <c r="P53" s="3673"/>
      <c r="Q53" s="3673"/>
      <c r="R53" s="3674" t="e">
        <f>B31/#REF!</f>
        <v>#REF!</v>
      </c>
      <c r="AA53" s="3675" t="e">
        <f t="shared" si="4"/>
        <v>#DIV/0!</v>
      </c>
    </row>
    <row r="54" spans="1:27" ht="21.6" hidden="1" thickBot="1">
      <c r="A54" s="3672"/>
      <c r="B54" s="3650"/>
      <c r="C54" s="3673" t="e">
        <f>C32/#REF!</f>
        <v>#REF!</v>
      </c>
      <c r="D54" s="3673" t="e">
        <f>D32/#REF!</f>
        <v>#REF!</v>
      </c>
      <c r="E54" s="3673"/>
      <c r="F54" s="3673"/>
      <c r="G54" s="3673"/>
      <c r="H54" s="3673"/>
      <c r="I54" s="3673"/>
      <c r="J54" s="3673"/>
      <c r="K54" s="3673"/>
      <c r="L54" s="3673"/>
      <c r="M54" s="3673"/>
      <c r="N54" s="3673"/>
      <c r="O54" s="3673"/>
      <c r="P54" s="3673"/>
      <c r="Q54" s="3673"/>
      <c r="R54" s="3674" t="e">
        <f>B32/#REF!</f>
        <v>#REF!</v>
      </c>
      <c r="AA54" s="3675" t="e">
        <f t="shared" si="4"/>
        <v>#DIV/0!</v>
      </c>
    </row>
    <row r="55" spans="1:27" ht="21.6" hidden="1" thickBot="1">
      <c r="A55" s="3672"/>
      <c r="B55" s="3650"/>
      <c r="C55" s="3673" t="e">
        <f>C33/#REF!</f>
        <v>#REF!</v>
      </c>
      <c r="D55" s="3673" t="e">
        <f>D33/#REF!</f>
        <v>#REF!</v>
      </c>
      <c r="E55" s="3673"/>
      <c r="F55" s="3673"/>
      <c r="G55" s="3673"/>
      <c r="H55" s="3673"/>
      <c r="I55" s="3673"/>
      <c r="J55" s="3673"/>
      <c r="K55" s="3673"/>
      <c r="L55" s="3673"/>
      <c r="M55" s="3673"/>
      <c r="N55" s="3673"/>
      <c r="O55" s="3673"/>
      <c r="P55" s="3673"/>
      <c r="Q55" s="3673"/>
      <c r="R55" s="3674" t="e">
        <f>B33/#REF!</f>
        <v>#REF!</v>
      </c>
      <c r="AA55" s="3675" t="e">
        <f t="shared" si="4"/>
        <v>#DIV/0!</v>
      </c>
    </row>
    <row r="56" spans="1:27" ht="21.6" hidden="1" thickBot="1">
      <c r="A56" s="3672"/>
      <c r="B56" s="3650"/>
      <c r="C56" s="3673" t="e">
        <f>C34/#REF!</f>
        <v>#REF!</v>
      </c>
      <c r="D56" s="3673" t="e">
        <f>D34/#REF!</f>
        <v>#REF!</v>
      </c>
      <c r="E56" s="3673"/>
      <c r="F56" s="3673"/>
      <c r="G56" s="3673"/>
      <c r="H56" s="3673"/>
      <c r="I56" s="3673"/>
      <c r="J56" s="3673"/>
      <c r="K56" s="3673"/>
      <c r="L56" s="3673"/>
      <c r="M56" s="3673"/>
      <c r="N56" s="3673"/>
      <c r="O56" s="3673"/>
      <c r="P56" s="3673"/>
      <c r="Q56" s="3673"/>
      <c r="R56" s="3674" t="e">
        <f>B34/#REF!</f>
        <v>#REF!</v>
      </c>
      <c r="AA56" s="3675" t="e">
        <f t="shared" si="4"/>
        <v>#DIV/0!</v>
      </c>
    </row>
    <row r="57" spans="1:27" ht="21.6" hidden="1" thickBot="1">
      <c r="A57" s="3672"/>
      <c r="B57" s="3650"/>
      <c r="C57" s="3673" t="e">
        <f>C35/#REF!</f>
        <v>#REF!</v>
      </c>
      <c r="D57" s="3673" t="e">
        <f>D35/#REF!</f>
        <v>#REF!</v>
      </c>
      <c r="E57" s="3673"/>
      <c r="F57" s="3673"/>
      <c r="G57" s="3673"/>
      <c r="H57" s="3673"/>
      <c r="I57" s="3673"/>
      <c r="J57" s="3673"/>
      <c r="K57" s="3673"/>
      <c r="L57" s="3673"/>
      <c r="M57" s="3673"/>
      <c r="N57" s="3673"/>
      <c r="O57" s="3673"/>
      <c r="P57" s="3673"/>
      <c r="Q57" s="3673"/>
      <c r="R57" s="3674" t="e">
        <f>B35/#REF!</f>
        <v>#REF!</v>
      </c>
      <c r="AA57" s="3675" t="e">
        <f t="shared" si="4"/>
        <v>#DIV/0!</v>
      </c>
    </row>
    <row r="58" spans="1:27" ht="21.6" hidden="1" thickBot="1">
      <c r="A58" s="3672"/>
      <c r="B58" s="3650"/>
      <c r="C58" s="3673" t="e">
        <f>C36/#REF!</f>
        <v>#REF!</v>
      </c>
      <c r="D58" s="3673" t="e">
        <f>D36/#REF!</f>
        <v>#REF!</v>
      </c>
      <c r="E58" s="3673"/>
      <c r="F58" s="3673"/>
      <c r="G58" s="3673"/>
      <c r="H58" s="3673"/>
      <c r="I58" s="3673"/>
      <c r="J58" s="3673"/>
      <c r="K58" s="3673"/>
      <c r="L58" s="3673"/>
      <c r="M58" s="3673"/>
      <c r="N58" s="3673"/>
      <c r="O58" s="3673"/>
      <c r="P58" s="3673"/>
      <c r="Q58" s="3673"/>
      <c r="R58" s="3674" t="e">
        <f>B36/#REF!</f>
        <v>#REF!</v>
      </c>
      <c r="AA58" s="3675" t="e">
        <f t="shared" si="4"/>
        <v>#DIV/0!</v>
      </c>
    </row>
    <row r="59" spans="1:27" ht="21.6" hidden="1" thickBot="1">
      <c r="A59" s="3672"/>
      <c r="B59" s="3650"/>
      <c r="C59" s="3673" t="e">
        <f>C37/#REF!</f>
        <v>#REF!</v>
      </c>
      <c r="D59" s="3673" t="e">
        <f>D37/#REF!</f>
        <v>#REF!</v>
      </c>
      <c r="E59" s="3673"/>
      <c r="F59" s="3673"/>
      <c r="G59" s="3673"/>
      <c r="H59" s="3673"/>
      <c r="I59" s="3673"/>
      <c r="J59" s="3673"/>
      <c r="K59" s="3673"/>
      <c r="L59" s="3673"/>
      <c r="M59" s="3673"/>
      <c r="N59" s="3673"/>
      <c r="O59" s="3673"/>
      <c r="P59" s="3673"/>
      <c r="Q59" s="3673"/>
      <c r="R59" s="3674" t="e">
        <f>B37/#REF!</f>
        <v>#REF!</v>
      </c>
      <c r="AA59" s="3675" t="e">
        <f t="shared" si="4"/>
        <v>#DIV/0!</v>
      </c>
    </row>
    <row r="60" spans="1:27" ht="21.6" hidden="1" thickBot="1">
      <c r="A60" s="3672"/>
      <c r="B60" s="3650"/>
      <c r="C60" s="3673" t="e">
        <f>C38/#REF!</f>
        <v>#REF!</v>
      </c>
      <c r="D60" s="3673" t="e">
        <f>D38/#REF!</f>
        <v>#REF!</v>
      </c>
      <c r="E60" s="3673"/>
      <c r="F60" s="3673"/>
      <c r="G60" s="3673"/>
      <c r="H60" s="3673"/>
      <c r="I60" s="3673"/>
      <c r="J60" s="3673"/>
      <c r="K60" s="3673"/>
      <c r="L60" s="3673"/>
      <c r="M60" s="3673"/>
      <c r="N60" s="3673"/>
      <c r="O60" s="3673"/>
      <c r="P60" s="3673"/>
      <c r="Q60" s="3673"/>
      <c r="R60" s="3674" t="e">
        <f>B38/#REF!</f>
        <v>#REF!</v>
      </c>
      <c r="AA60" s="3675"/>
    </row>
    <row r="61" spans="1:27" ht="21.6" hidden="1" thickBot="1">
      <c r="A61" s="3672"/>
      <c r="B61" s="3650"/>
      <c r="C61" s="3673" t="e">
        <f>C39/#REF!</f>
        <v>#REF!</v>
      </c>
      <c r="D61" s="3673" t="e">
        <f>D39/#REF!</f>
        <v>#REF!</v>
      </c>
      <c r="E61" s="3673"/>
      <c r="F61" s="3673"/>
      <c r="G61" s="3673"/>
      <c r="H61" s="3673"/>
      <c r="I61" s="3673"/>
      <c r="J61" s="3673"/>
      <c r="K61" s="3673"/>
      <c r="L61" s="3673"/>
      <c r="M61" s="3673"/>
      <c r="N61" s="3673"/>
      <c r="O61" s="3673"/>
      <c r="P61" s="3673"/>
      <c r="Q61" s="3673"/>
      <c r="R61" s="3674" t="e">
        <f>B39/#REF!</f>
        <v>#REF!</v>
      </c>
      <c r="AA61" s="3675"/>
    </row>
    <row r="62" spans="1:27" ht="21.6" hidden="1" thickBot="1">
      <c r="A62" s="3672"/>
      <c r="B62" s="3650"/>
      <c r="C62" s="3673" t="e">
        <f>C40/#REF!</f>
        <v>#REF!</v>
      </c>
      <c r="D62" s="3673" t="e">
        <f>D40/#REF!</f>
        <v>#REF!</v>
      </c>
      <c r="E62" s="3673"/>
      <c r="F62" s="3673"/>
      <c r="G62" s="3673"/>
      <c r="H62" s="3673"/>
      <c r="I62" s="3673"/>
      <c r="J62" s="3673"/>
      <c r="K62" s="3673"/>
      <c r="L62" s="3673"/>
      <c r="M62" s="3673"/>
      <c r="N62" s="3673"/>
      <c r="O62" s="3673"/>
      <c r="P62" s="3673"/>
      <c r="Q62" s="3673"/>
      <c r="R62" s="3674" t="e">
        <f>B40/#REF!</f>
        <v>#REF!</v>
      </c>
      <c r="AA62" s="3675"/>
    </row>
    <row r="63" spans="1:27" ht="21.6" hidden="1" thickBot="1">
      <c r="A63" s="3672"/>
      <c r="B63" s="3650"/>
      <c r="C63" s="3673" t="e">
        <f>C41/#REF!</f>
        <v>#REF!</v>
      </c>
      <c r="D63" s="3673" t="e">
        <f>D41/#REF!</f>
        <v>#REF!</v>
      </c>
      <c r="E63" s="3673"/>
      <c r="F63" s="3673"/>
      <c r="G63" s="3673"/>
      <c r="H63" s="3673"/>
      <c r="I63" s="3673"/>
      <c r="J63" s="3673"/>
      <c r="K63" s="3673"/>
      <c r="L63" s="3673"/>
      <c r="M63" s="3673"/>
      <c r="N63" s="3673"/>
      <c r="O63" s="3673"/>
      <c r="P63" s="3673"/>
      <c r="Q63" s="3673"/>
      <c r="R63" s="3674" t="e">
        <f>B41/#REF!</f>
        <v>#REF!</v>
      </c>
      <c r="AA63" s="3675"/>
    </row>
    <row r="64" spans="1:27" ht="21.6" hidden="1" thickBot="1">
      <c r="A64" s="3672"/>
      <c r="B64" s="3650"/>
      <c r="C64" s="3673" t="e">
        <f>C42/#REF!</f>
        <v>#REF!</v>
      </c>
      <c r="D64" s="3673" t="e">
        <f>D42/#REF!</f>
        <v>#REF!</v>
      </c>
      <c r="E64" s="3673"/>
      <c r="F64" s="3673"/>
      <c r="G64" s="3673"/>
      <c r="H64" s="3673"/>
      <c r="I64" s="3673"/>
      <c r="J64" s="3673"/>
      <c r="K64" s="3673"/>
      <c r="L64" s="3673"/>
      <c r="M64" s="3673"/>
      <c r="N64" s="3673"/>
      <c r="O64" s="3673"/>
      <c r="P64" s="3673"/>
      <c r="Q64" s="3673"/>
      <c r="R64" s="3674" t="e">
        <f>B42/#REF!</f>
        <v>#REF!</v>
      </c>
      <c r="AA64" s="3675"/>
    </row>
    <row r="65" spans="1:27" ht="21.6" hidden="1" thickBot="1">
      <c r="A65" s="3672"/>
      <c r="B65" s="3650"/>
      <c r="C65" s="3673" t="e">
        <f>(C64-C49)/C49</f>
        <v>#REF!</v>
      </c>
      <c r="D65" s="3673" t="e">
        <f>(D64-D49)/D49</f>
        <v>#REF!</v>
      </c>
      <c r="E65" s="3673"/>
      <c r="F65" s="3673"/>
      <c r="G65" s="3673"/>
      <c r="H65" s="3673"/>
      <c r="I65" s="3673"/>
      <c r="J65" s="3673"/>
      <c r="K65" s="3673"/>
      <c r="L65" s="3673"/>
      <c r="M65" s="3673"/>
      <c r="N65" s="3673"/>
      <c r="O65" s="3673"/>
      <c r="P65" s="3673"/>
      <c r="Q65" s="3673"/>
      <c r="R65" s="3674"/>
      <c r="AA65" s="3675"/>
    </row>
    <row r="66" spans="1:27" ht="22.2" thickTop="1" thickBot="1">
      <c r="A66" s="4505" t="s">
        <v>421</v>
      </c>
      <c r="B66" s="4505"/>
      <c r="C66" s="4505"/>
      <c r="D66" s="4505"/>
      <c r="E66" s="4505"/>
      <c r="F66" s="4505"/>
      <c r="G66" s="4505"/>
      <c r="H66" s="4505"/>
      <c r="I66" s="4505"/>
      <c r="J66" s="4505"/>
      <c r="K66" s="4505"/>
      <c r="L66" s="4505"/>
      <c r="M66" s="4505"/>
      <c r="N66" s="4505"/>
      <c r="O66" s="4505"/>
      <c r="P66" s="4505"/>
      <c r="Q66" s="4505"/>
      <c r="R66" s="4505"/>
    </row>
    <row r="67" spans="1:27" ht="21">
      <c r="A67" s="3713"/>
      <c r="B67" s="3676" t="s">
        <v>277</v>
      </c>
      <c r="C67" s="3676" t="s">
        <v>276</v>
      </c>
      <c r="D67" s="3676" t="s">
        <v>275</v>
      </c>
      <c r="E67" s="3676" t="s">
        <v>406</v>
      </c>
      <c r="F67" s="3676" t="s">
        <v>407</v>
      </c>
      <c r="G67" s="3676" t="s">
        <v>408</v>
      </c>
      <c r="H67" s="3676" t="s">
        <v>409</v>
      </c>
      <c r="I67" s="3676" t="s">
        <v>410</v>
      </c>
      <c r="J67" s="3676" t="s">
        <v>411</v>
      </c>
      <c r="K67" s="3676" t="s">
        <v>412</v>
      </c>
      <c r="L67" s="3676" t="s">
        <v>413</v>
      </c>
      <c r="M67" s="3676" t="s">
        <v>327</v>
      </c>
      <c r="N67" s="3676" t="s">
        <v>414</v>
      </c>
      <c r="O67" s="3676" t="s">
        <v>415</v>
      </c>
      <c r="P67" s="3676" t="s">
        <v>416</v>
      </c>
      <c r="Q67" s="3676" t="s">
        <v>272</v>
      </c>
      <c r="R67" s="3677" t="s">
        <v>417</v>
      </c>
    </row>
    <row r="68" spans="1:27" ht="21" hidden="1">
      <c r="A68" s="3662">
        <v>1999</v>
      </c>
      <c r="B68" s="3678">
        <v>5922.8301999999821</v>
      </c>
      <c r="C68" s="3678">
        <v>15844.160599999857</v>
      </c>
      <c r="D68" s="3678">
        <v>848.33040000000028</v>
      </c>
      <c r="E68" s="3678">
        <v>6336.7530000002098</v>
      </c>
      <c r="F68" s="3678">
        <v>22568.687999999966</v>
      </c>
      <c r="G68" s="3678">
        <v>21858.488999999867</v>
      </c>
      <c r="H68" s="3678">
        <v>1370.4776000000056</v>
      </c>
      <c r="I68" s="3678">
        <v>1613.8898999999985</v>
      </c>
      <c r="J68" s="3678">
        <v>3274.0180999999811</v>
      </c>
      <c r="K68" s="3678">
        <v>4369.4162999999635</v>
      </c>
      <c r="L68" s="3678">
        <v>3509.5335999999807</v>
      </c>
      <c r="M68" s="3678">
        <v>19944.214700000433</v>
      </c>
      <c r="N68" s="3678">
        <v>24519.75229999928</v>
      </c>
      <c r="O68" s="3678">
        <v>5626.8470999999799</v>
      </c>
      <c r="P68" s="3678">
        <v>2134.3144999999899</v>
      </c>
      <c r="Q68" s="3678">
        <v>6676.2</v>
      </c>
      <c r="R68" s="3679">
        <f>SUM(B68:Q68)</f>
        <v>146417.9152999995</v>
      </c>
    </row>
    <row r="69" spans="1:27" ht="21" hidden="1">
      <c r="A69" s="3662">
        <v>2000</v>
      </c>
      <c r="B69" s="3680">
        <v>6243.4014999999563</v>
      </c>
      <c r="C69" s="3680">
        <v>15542.323699999895</v>
      </c>
      <c r="D69" s="3680">
        <v>8558.7947999999651</v>
      </c>
      <c r="E69" s="3680">
        <v>6310.8568000000578</v>
      </c>
      <c r="F69" s="3680">
        <v>23845.144199999897</v>
      </c>
      <c r="G69" s="3680">
        <v>21987.909299999839</v>
      </c>
      <c r="H69" s="3680">
        <v>1356.7914000000005</v>
      </c>
      <c r="I69" s="3680">
        <v>1576.0335999999988</v>
      </c>
      <c r="J69" s="3680">
        <v>3208.7362999999896</v>
      </c>
      <c r="K69" s="3680">
        <v>4223.4837999999745</v>
      </c>
      <c r="L69" s="3680">
        <v>3520.3975999999871</v>
      </c>
      <c r="M69" s="3680">
        <v>19836.723500000189</v>
      </c>
      <c r="N69" s="3680">
        <v>24598.300299999988</v>
      </c>
      <c r="O69" s="3680">
        <v>5654.071399999988</v>
      </c>
      <c r="P69" s="3680">
        <v>2141.8592999999923</v>
      </c>
      <c r="Q69" s="3680">
        <v>6691.6682999999994</v>
      </c>
      <c r="R69" s="3679">
        <f>SUM(B69:Q69)</f>
        <v>155296.49579999971</v>
      </c>
    </row>
    <row r="70" spans="1:27" ht="21" hidden="1">
      <c r="A70" s="3662">
        <v>2001</v>
      </c>
      <c r="B70" s="3680">
        <v>6409.3510999999526</v>
      </c>
      <c r="C70" s="3680">
        <v>16023.909899999864</v>
      </c>
      <c r="D70" s="3680">
        <v>8732.8924999998508</v>
      </c>
      <c r="E70" s="3680">
        <v>5867.4220000001014</v>
      </c>
      <c r="F70" s="3680">
        <v>26802.110399999932</v>
      </c>
      <c r="G70" s="3680">
        <v>22270.02979999968</v>
      </c>
      <c r="H70" s="3680">
        <v>1412.1656999999998</v>
      </c>
      <c r="I70" s="3680">
        <v>1639.2732999999932</v>
      </c>
      <c r="J70" s="3680">
        <v>3098.6086999999793</v>
      </c>
      <c r="K70" s="3680">
        <v>4324.2166999999754</v>
      </c>
      <c r="L70" s="3680">
        <v>3540.6359999999759</v>
      </c>
      <c r="M70" s="3680">
        <v>20220.816400000356</v>
      </c>
      <c r="N70" s="3680">
        <v>24373.70949999923</v>
      </c>
      <c r="O70" s="3680">
        <v>5598.5298000000048</v>
      </c>
      <c r="P70" s="3680">
        <v>2242.3428999999946</v>
      </c>
      <c r="Q70" s="3680">
        <v>6809.1281999999819</v>
      </c>
      <c r="R70" s="3679">
        <f t="shared" ref="R70:R84" si="5">SUM(B70:Q70)</f>
        <v>159365.14289999887</v>
      </c>
    </row>
    <row r="71" spans="1:27" ht="21" hidden="1">
      <c r="A71" s="3662">
        <v>2002</v>
      </c>
      <c r="B71" s="3680">
        <v>7244.8</v>
      </c>
      <c r="C71" s="3680">
        <v>17574.8</v>
      </c>
      <c r="D71" s="3680">
        <v>10222.299999999999</v>
      </c>
      <c r="E71" s="3680">
        <v>5814</v>
      </c>
      <c r="F71" s="3680">
        <v>31793.565599999922</v>
      </c>
      <c r="G71" s="3680">
        <v>22654.001000000189</v>
      </c>
      <c r="H71" s="3680">
        <v>1525.525899999999</v>
      </c>
      <c r="I71" s="3680">
        <v>1725.2649000000013</v>
      </c>
      <c r="J71" s="3680">
        <v>3173.10769999997</v>
      </c>
      <c r="K71" s="3680">
        <v>4592.8833999999824</v>
      </c>
      <c r="L71" s="3680">
        <v>3660.423199999972</v>
      </c>
      <c r="M71" s="3680">
        <v>20744.693500000554</v>
      </c>
      <c r="N71" s="3680">
        <v>24186.298899999394</v>
      </c>
      <c r="O71" s="3680">
        <v>5677.1921999999859</v>
      </c>
      <c r="P71" s="3680">
        <v>2335.915400000004</v>
      </c>
      <c r="Q71" s="3680">
        <v>7434.1266999999907</v>
      </c>
      <c r="R71" s="3679">
        <f t="shared" si="5"/>
        <v>170358.89839999992</v>
      </c>
    </row>
    <row r="72" spans="1:27" ht="21" hidden="1">
      <c r="A72" s="3662">
        <v>2003</v>
      </c>
      <c r="B72" s="3680">
        <v>7080.2414999999974</v>
      </c>
      <c r="C72" s="3680">
        <v>17595.97440000005</v>
      </c>
      <c r="D72" s="3680">
        <v>9244.2471999997488</v>
      </c>
      <c r="E72" s="3680">
        <v>6370.5634000000182</v>
      </c>
      <c r="F72" s="3680">
        <v>35917.350900000049</v>
      </c>
      <c r="G72" s="3680">
        <v>22719.180300000055</v>
      </c>
      <c r="H72" s="3680">
        <v>1528.6027000000008</v>
      </c>
      <c r="I72" s="3680">
        <v>1851.6836000000026</v>
      </c>
      <c r="J72" s="3680">
        <v>3571.3737999999898</v>
      </c>
      <c r="K72" s="3680">
        <v>4870.5812999999798</v>
      </c>
      <c r="L72" s="3680">
        <v>3727.176599999992</v>
      </c>
      <c r="M72" s="3680">
        <v>17152.831500000138</v>
      </c>
      <c r="N72" s="3680">
        <v>23686.533000000218</v>
      </c>
      <c r="O72" s="3680">
        <v>5728.0022999999746</v>
      </c>
      <c r="P72" s="3680">
        <v>2491.4615000000026</v>
      </c>
      <c r="Q72" s="3680">
        <v>7865.9661999999871</v>
      </c>
      <c r="R72" s="3679">
        <f t="shared" si="5"/>
        <v>171401.7702000002</v>
      </c>
    </row>
    <row r="73" spans="1:27" ht="21" hidden="1">
      <c r="A73" s="3662">
        <v>2004</v>
      </c>
      <c r="B73" s="3680">
        <v>7362.3982999999971</v>
      </c>
      <c r="C73" s="3680">
        <v>18084.041599999957</v>
      </c>
      <c r="D73" s="3680">
        <v>9033.217399999945</v>
      </c>
      <c r="E73" s="3680">
        <v>6443.5457000000124</v>
      </c>
      <c r="F73" s="3680">
        <v>38612.579799999949</v>
      </c>
      <c r="G73" s="3680">
        <v>22614.501900000039</v>
      </c>
      <c r="H73" s="3680">
        <v>1545.0481999999977</v>
      </c>
      <c r="I73" s="3680">
        <v>1985.775599999999</v>
      </c>
      <c r="J73" s="3680">
        <v>3682.1268999999929</v>
      </c>
      <c r="K73" s="3680">
        <v>4906.1524999999947</v>
      </c>
      <c r="L73" s="3680">
        <v>3592.7423999999896</v>
      </c>
      <c r="M73" s="3680">
        <v>17477.306500000097</v>
      </c>
      <c r="N73" s="3680">
        <v>23359.758099999919</v>
      </c>
      <c r="O73" s="3680">
        <v>5841.8099000000066</v>
      </c>
      <c r="P73" s="3680">
        <v>2433.1177999999977</v>
      </c>
      <c r="Q73" s="3680">
        <v>8076.3783999999841</v>
      </c>
      <c r="R73" s="3679">
        <f t="shared" si="5"/>
        <v>175050.50099999987</v>
      </c>
    </row>
    <row r="74" spans="1:27" ht="21" hidden="1">
      <c r="A74" s="3662">
        <v>2005</v>
      </c>
      <c r="B74" s="3680">
        <v>7527.0535000000036</v>
      </c>
      <c r="C74" s="3680">
        <v>17999.330900000052</v>
      </c>
      <c r="D74" s="3680">
        <v>8689.8603999999941</v>
      </c>
      <c r="E74" s="3680">
        <v>6755.2456999999522</v>
      </c>
      <c r="F74" s="3680">
        <v>39938.602499999964</v>
      </c>
      <c r="G74" s="3680">
        <v>22016.986799999919</v>
      </c>
      <c r="H74" s="3680">
        <v>1514.8827000000003</v>
      </c>
      <c r="I74" s="3680">
        <v>1998.5489999999998</v>
      </c>
      <c r="J74" s="3680">
        <v>3712.4617999999909</v>
      </c>
      <c r="K74" s="3680">
        <v>4965.8771999999944</v>
      </c>
      <c r="L74" s="3680">
        <v>3556.0922999999984</v>
      </c>
      <c r="M74" s="3680">
        <v>18110.061300000136</v>
      </c>
      <c r="N74" s="3680">
        <v>23305.724799999829</v>
      </c>
      <c r="O74" s="3680">
        <v>5867.9997000000058</v>
      </c>
      <c r="P74" s="3680">
        <v>2445.170099999998</v>
      </c>
      <c r="Q74" s="3680">
        <v>8165.387399999976</v>
      </c>
      <c r="R74" s="3679">
        <f t="shared" si="5"/>
        <v>176569.28609999982</v>
      </c>
    </row>
    <row r="75" spans="1:27" ht="21" hidden="1">
      <c r="A75" s="3662">
        <v>2006</v>
      </c>
      <c r="B75" s="3680">
        <v>7575.4695000000193</v>
      </c>
      <c r="C75" s="3680">
        <v>17711.801800000103</v>
      </c>
      <c r="D75" s="3680">
        <v>8128.1376000000309</v>
      </c>
      <c r="E75" s="3680">
        <v>6729.1867999999249</v>
      </c>
      <c r="F75" s="3680">
        <v>40705.506499999923</v>
      </c>
      <c r="G75" s="3680">
        <v>22092.912099999845</v>
      </c>
      <c r="H75" s="3680">
        <v>1446.770199999999</v>
      </c>
      <c r="I75" s="3680">
        <v>2001.4816999999994</v>
      </c>
      <c r="J75" s="3680">
        <v>3613.4083999999998</v>
      </c>
      <c r="K75" s="3680">
        <v>4832.4500000000189</v>
      </c>
      <c r="L75" s="3680">
        <v>3368.9255000000026</v>
      </c>
      <c r="M75" s="3680">
        <v>17611.413200000057</v>
      </c>
      <c r="N75" s="3680">
        <v>23429.858599999858</v>
      </c>
      <c r="O75" s="3680">
        <v>5862.390900000024</v>
      </c>
      <c r="P75" s="3680">
        <v>2517.1618000000021</v>
      </c>
      <c r="Q75" s="3680">
        <v>8099.8291999999856</v>
      </c>
      <c r="R75" s="3679">
        <f t="shared" si="5"/>
        <v>175726.70379999978</v>
      </c>
    </row>
    <row r="76" spans="1:27" ht="21">
      <c r="A76" s="3662">
        <v>2007</v>
      </c>
      <c r="B76" s="3680">
        <f>'Student Enrollment BRS VIII '!B637+'Student Enrollment BRS VIII '!B641+'Student Enrollment BRS VIII '!B645-'Student Enrollment BRS VIII '!B652</f>
        <v>7707.1</v>
      </c>
      <c r="C76" s="3680">
        <f>'Student Enrollment BRS VIII '!B601+'Student Enrollment BRS VIII '!B605+'Student Enrollment BRS VIII '!B609-'Student Enrollment BRS VIII '!B616</f>
        <v>16076.686000000002</v>
      </c>
      <c r="D76" s="3680">
        <f>'Student Enrollment BRS VIII '!B565+'Student Enrollment BRS VIII '!B569+'Student Enrollment BRS VIII '!B573-'Student Enrollment BRS VIII '!B580</f>
        <v>7807.7</v>
      </c>
      <c r="E76" s="3680">
        <f>'Student Enrollment BRS VIII '!B709-'Student Enrollment BRS VIII '!B724</f>
        <v>5597.3</v>
      </c>
      <c r="F76" s="3680">
        <f>'Student Enrollment BRS VIII '!B673-'Student Enrollment BRS VIII '!B688</f>
        <v>43141.7</v>
      </c>
      <c r="G76" s="3680">
        <f>'Student Enrollment BRS VIII '!B97+'Student Enrollment BRS VIII '!B101+'Student Enrollment BRS VIII '!B105-'Student Enrollment BRS VIII '!B112</f>
        <v>21616</v>
      </c>
      <c r="H76" s="3680">
        <f>'Student Enrollment BRS VIII '!B133+'Student Enrollment BRS VIII '!B137+'Student Enrollment BRS VIII '!B141-'Student Enrollment BRS VIII '!B148</f>
        <v>1380.4</v>
      </c>
      <c r="I76" s="3680">
        <f>'Student Enrollment BRS VIII '!B169+'Student Enrollment BRS VIII '!B173+'Student Enrollment BRS VIII '!B177-'Student Enrollment BRS VIII '!B184</f>
        <v>1902.1</v>
      </c>
      <c r="J76" s="3680">
        <f>'Student Enrollment BRS VIII '!B205+'Student Enrollment BRS VIII '!B209+'Student Enrollment BRS VIII '!B213-'Student Enrollment BRS VIII '!B220</f>
        <v>3612.2000000000003</v>
      </c>
      <c r="K76" s="3680">
        <f>'Student Enrollment BRS VIII '!B241+'Student Enrollment BRS VIII '!B245+'Student Enrollment BRS VIII '!B249-'Student Enrollment BRS VIII '!B256</f>
        <v>4667.2</v>
      </c>
      <c r="L76" s="3680">
        <f>'Student Enrollment BRS VIII '!B277+'Student Enrollment BRS VIII '!B281+'Student Enrollment BRS VIII '!B285-'Student Enrollment BRS VIII '!B292</f>
        <v>3409.3999999999996</v>
      </c>
      <c r="M76" s="3680">
        <f>'Student Enrollment BRS VIII '!B349+'Student Enrollment BRS VIII '!B353+'Student Enrollment BRS VIII '!B357-'Student Enrollment BRS VIII '!B364</f>
        <v>19291.889999999996</v>
      </c>
      <c r="N76" s="3680">
        <f>'Student Enrollment BRS VIII '!B421+'Student Enrollment BRS VIII '!B425+'Student Enrollment BRS VIII '!B429-'Student Enrollment BRS VIII '!B436</f>
        <v>23157.200000000001</v>
      </c>
      <c r="O76" s="3680">
        <f>'Student Enrollment BRS VIII '!B457+'Student Enrollment BRS VIII '!B461+'Student Enrollment BRS VIII '!B465-'Student Enrollment BRS VIII '!B472</f>
        <v>5836.7000000000007</v>
      </c>
      <c r="P76" s="3680">
        <f>'Student Enrollment BRS VIII '!B529+'Student Enrollment BRS VIII '!B533+'Student Enrollment BRS VIII '!B537-'Student Enrollment BRS VIII '!B544</f>
        <v>2625.8999999999996</v>
      </c>
      <c r="Q76" s="3680">
        <f>'Student Enrollment BRS VIII '!B493+'Student Enrollment BRS VIII '!B497+'Student Enrollment BRS VIII '!B501-'Student Enrollment BRS VIII '!B508</f>
        <v>8215.1999999999989</v>
      </c>
      <c r="R76" s="3679">
        <f t="shared" si="5"/>
        <v>176044.67600000001</v>
      </c>
    </row>
    <row r="77" spans="1:27" ht="21">
      <c r="A77" s="3662">
        <v>2008</v>
      </c>
      <c r="B77" s="3680">
        <f>'Student Enrollment BRS VIII '!D637+'Student Enrollment BRS VIII '!D641+'Student Enrollment BRS VIII '!D645-'Student Enrollment BRS VIII '!D652</f>
        <v>7663.3</v>
      </c>
      <c r="C77" s="3680">
        <f>'Student Enrollment BRS VIII '!D601+'Student Enrollment BRS VIII '!D605+'Student Enrollment BRS VIII '!D609-'Student Enrollment BRS VIII '!D616</f>
        <v>15775.491000000002</v>
      </c>
      <c r="D77" s="3680">
        <f>'Student Enrollment BRS VIII '!D565+'Student Enrollment BRS VIII '!D569+'Student Enrollment BRS VIII '!D573-'Student Enrollment BRS VIII '!D580</f>
        <v>7652.9000000000005</v>
      </c>
      <c r="E77" s="3680">
        <f>'Student Enrollment BRS VIII '!D709-'Student Enrollment BRS VIII '!D724</f>
        <v>5891.4</v>
      </c>
      <c r="F77" s="3680">
        <f>'Student Enrollment BRS VIII '!D673-'Student Enrollment BRS VIII '!D688</f>
        <v>46529.1</v>
      </c>
      <c r="G77" s="3680">
        <f>'Student Enrollment BRS VIII '!D97+'Student Enrollment BRS VIII '!D101+'Student Enrollment BRS VIII '!D105-'Student Enrollment BRS VIII '!D112</f>
        <v>21304.399999999998</v>
      </c>
      <c r="H77" s="3680">
        <f>'Student Enrollment BRS VIII '!D133+'Student Enrollment BRS VIII '!D137+'Student Enrollment BRS VIII '!D141-'Student Enrollment BRS VIII '!D148</f>
        <v>1401.8</v>
      </c>
      <c r="I77" s="3680">
        <f>'Student Enrollment BRS VIII '!D169+'Student Enrollment BRS VIII '!D173+'Student Enrollment BRS VIII '!D177-'Student Enrollment BRS VIII '!D184</f>
        <v>1897.1</v>
      </c>
      <c r="J77" s="3680">
        <f>'Student Enrollment BRS VIII '!D205+'Student Enrollment BRS VIII '!D209+'Student Enrollment BRS VIII '!D213-'Student Enrollment BRS VIII '!D220</f>
        <v>3541.4</v>
      </c>
      <c r="K77" s="3680">
        <f>'Student Enrollment BRS VIII '!D241+'Student Enrollment BRS VIII '!D245+'Student Enrollment BRS VIII '!D249-'Student Enrollment BRS VIII '!D256</f>
        <v>4666.3</v>
      </c>
      <c r="L77" s="3680">
        <f>'Student Enrollment BRS VIII '!D277+'Student Enrollment BRS VIII '!D281+'Student Enrollment BRS VIII '!D285-'Student Enrollment BRS VIII '!D292</f>
        <v>3315.2</v>
      </c>
      <c r="M77" s="3680">
        <f>'Student Enrollment BRS VIII '!D349+'Student Enrollment BRS VIII '!D353+'Student Enrollment BRS VIII '!D357-'Student Enrollment BRS VIII '!D364</f>
        <v>19542.160000000003</v>
      </c>
      <c r="N77" s="3680">
        <f>'Student Enrollment BRS VIII '!D421+'Student Enrollment BRS VIII '!D425+'Student Enrollment BRS VIII '!D429-'Student Enrollment BRS VIII '!D436</f>
        <v>23203.200000000001</v>
      </c>
      <c r="O77" s="3680">
        <f>'Student Enrollment BRS VIII '!D457+'Student Enrollment BRS VIII '!D461+'Student Enrollment BRS VIII '!D465-'Student Enrollment BRS VIII '!D472</f>
        <v>5858.7000000000007</v>
      </c>
      <c r="P77" s="3680">
        <f>'Student Enrollment BRS VIII '!D529+'Student Enrollment BRS VIII '!D533+'Student Enrollment BRS VIII '!D537-'Student Enrollment BRS VIII '!D544</f>
        <v>2699.5</v>
      </c>
      <c r="Q77" s="3680">
        <f>'Student Enrollment BRS VIII '!D493+'Student Enrollment BRS VIII '!D497+'Student Enrollment BRS VIII '!D501-'Student Enrollment BRS VIII '!D508</f>
        <v>8375.5000000000018</v>
      </c>
      <c r="R77" s="3679">
        <f t="shared" si="5"/>
        <v>179317.451</v>
      </c>
    </row>
    <row r="78" spans="1:27" ht="21">
      <c r="A78" s="3662">
        <v>2009</v>
      </c>
      <c r="B78" s="3680">
        <f>'Student Enrollment BRS VIII '!F637+'Student Enrollment BRS VIII '!F641+'Student Enrollment BRS VIII '!F645-'Student Enrollment BRS VIII '!F652</f>
        <v>7853.7</v>
      </c>
      <c r="C78" s="3680">
        <f>'Student Enrollment BRS VIII '!F601+'Student Enrollment BRS VIII '!F605+'Student Enrollment BRS VIII '!F609-'Student Enrollment BRS VIII '!F616</f>
        <v>16069.326999999999</v>
      </c>
      <c r="D78" s="3680">
        <f>'Student Enrollment BRS VIII '!F565+'Student Enrollment BRS VIII '!F569+'Student Enrollment BRS VIII '!F573-'Student Enrollment BRS VIII '!F580</f>
        <v>7457.4000000000005</v>
      </c>
      <c r="E78" s="3680">
        <f>'Student Enrollment BRS VIII '!F709-'Student Enrollment BRS VIII '!F724</f>
        <v>6130.3</v>
      </c>
      <c r="F78" s="3680">
        <f>'Student Enrollment BRS VIII '!F673-'Student Enrollment BRS VIII '!F688</f>
        <v>51034.600000000006</v>
      </c>
      <c r="G78" s="3680">
        <f>'Student Enrollment BRS VIII '!F97+'Student Enrollment BRS VIII '!F101+'Student Enrollment BRS VIII '!F105-'Student Enrollment BRS VIII '!F112</f>
        <v>21820.3</v>
      </c>
      <c r="H78" s="3680">
        <f>'Student Enrollment BRS VIII '!F133+'Student Enrollment BRS VIII '!F137+'Student Enrollment BRS VIII '!F141-'Student Enrollment BRS VIII '!F148</f>
        <v>1541.1</v>
      </c>
      <c r="I78" s="3680">
        <f>'Student Enrollment BRS VIII '!F169+'Student Enrollment BRS VIII '!F173+'Student Enrollment BRS VIII '!F177-'Student Enrollment BRS VIII '!F184</f>
        <v>1819.8</v>
      </c>
      <c r="J78" s="3680">
        <f>'Student Enrollment BRS VIII '!F205+'Student Enrollment BRS VIII '!F209+'Student Enrollment BRS VIII '!F213-'Student Enrollment BRS VIII '!F220</f>
        <v>3710.5</v>
      </c>
      <c r="K78" s="3680">
        <f>'Student Enrollment BRS VIII '!F241+'Student Enrollment BRS VIII '!F245+'Student Enrollment BRS VIII '!F249-'Student Enrollment BRS VIII '!F256</f>
        <v>4887.4999999999991</v>
      </c>
      <c r="L78" s="3680">
        <f>'Student Enrollment BRS VIII '!F277+'Student Enrollment BRS VIII '!F281+'Student Enrollment BRS VIII '!F285-'Student Enrollment BRS VIII '!F292</f>
        <v>3456.5000000000005</v>
      </c>
      <c r="M78" s="3680">
        <f>'Student Enrollment BRS VIII '!F349+'Student Enrollment BRS VIII '!F353+'Student Enrollment BRS VIII '!F357-'Student Enrollment BRS VIII '!F364</f>
        <v>19965.739999999998</v>
      </c>
      <c r="N78" s="3680">
        <f>'Student Enrollment BRS VIII '!F421+'Student Enrollment BRS VIII '!F425+'Student Enrollment BRS VIII '!F429-'Student Enrollment BRS VIII '!F436</f>
        <v>22807.499999999996</v>
      </c>
      <c r="O78" s="3680">
        <f>'Student Enrollment BRS VIII '!F457+'Student Enrollment BRS VIII '!F461+'Student Enrollment BRS VIII '!F465-'Student Enrollment BRS VIII '!F472</f>
        <v>5883</v>
      </c>
      <c r="P78" s="3680">
        <f>'Student Enrollment BRS VIII '!F529+'Student Enrollment BRS VIII '!F533+'Student Enrollment BRS VIII '!F537-'Student Enrollment BRS VIII '!F544</f>
        <v>2846.2999999999997</v>
      </c>
      <c r="Q78" s="3680">
        <f>'Student Enrollment BRS VIII '!F493+'Student Enrollment BRS VIII '!F497+'Student Enrollment BRS VIII '!F501-'Student Enrollment BRS VIII '!F508</f>
        <v>8612.6</v>
      </c>
      <c r="R78" s="3679">
        <f t="shared" si="5"/>
        <v>185896.16700000002</v>
      </c>
    </row>
    <row r="79" spans="1:27" ht="21">
      <c r="A79" s="3662">
        <v>2010</v>
      </c>
      <c r="B79" s="3680">
        <f>'Student Enrollment BRS VIII '!H637+'Student Enrollment BRS VIII '!H641+'Student Enrollment BRS VIII '!H645-'Student Enrollment BRS VIII '!H652</f>
        <v>8146.7</v>
      </c>
      <c r="C79" s="3680">
        <f>'Student Enrollment BRS VIII '!H601+'Student Enrollment BRS VIII '!H605+'Student Enrollment BRS VIII '!H609-'Student Enrollment BRS VIII '!H616</f>
        <v>16926.216</v>
      </c>
      <c r="D79" s="3680">
        <f>'Student Enrollment BRS VIII '!H565+'Student Enrollment BRS VIII '!H569+'Student Enrollment BRS VIII '!H573-'Student Enrollment BRS VIII '!H580</f>
        <v>7538.5</v>
      </c>
      <c r="E79" s="3680">
        <f>'Student Enrollment BRS VIII '!H709-'Student Enrollment BRS VIII '!H724</f>
        <v>6774.2</v>
      </c>
      <c r="F79" s="3680">
        <f>'Student Enrollment BRS VIII '!H673-'Student Enrollment BRS VIII '!H688</f>
        <v>66765.900000000009</v>
      </c>
      <c r="G79" s="3680">
        <f>'Student Enrollment BRS VIII '!H97+'Student Enrollment BRS VIII '!H101+'Student Enrollment BRS VIII '!H105-'Student Enrollment BRS VIII '!H112</f>
        <v>22411.199999999997</v>
      </c>
      <c r="H79" s="3680">
        <f>'Student Enrollment BRS VIII '!H133+'Student Enrollment BRS VIII '!H137+'Student Enrollment BRS VIII '!H141-'Student Enrollment BRS VIII '!H148</f>
        <v>1774.6000000000001</v>
      </c>
      <c r="I79" s="3680">
        <f>'Student Enrollment BRS VIII '!H169+'Student Enrollment BRS VIII '!H173+'Student Enrollment BRS VIII '!H177-'Student Enrollment BRS VIII '!H184</f>
        <v>2021.4999999999998</v>
      </c>
      <c r="J79" s="3680">
        <f>'Student Enrollment BRS VIII '!H205+'Student Enrollment BRS VIII '!H209+'Student Enrollment BRS VIII '!H213-'Student Enrollment BRS VIII '!H220</f>
        <v>4250.4000000000005</v>
      </c>
      <c r="K79" s="3680">
        <f>'Student Enrollment BRS VIII '!H241+'Student Enrollment BRS VIII '!H245+'Student Enrollment BRS VIII '!H249-'Student Enrollment BRS VIII '!H256</f>
        <v>5375.9000000000005</v>
      </c>
      <c r="L79" s="3680">
        <f>'Student Enrollment BRS VIII '!H277+'Student Enrollment BRS VIII '!H281+'Student Enrollment BRS VIII '!H285-'Student Enrollment BRS VIII '!H292</f>
        <v>3624.5</v>
      </c>
      <c r="M79" s="3680">
        <f>'Student Enrollment BRS VIII '!H349+'Student Enrollment BRS VIII '!H353+'Student Enrollment BRS VIII '!H357-'Student Enrollment BRS VIII '!H364</f>
        <v>20421.36</v>
      </c>
      <c r="N79" s="3680">
        <f>'Student Enrollment BRS VIII '!H421+'Student Enrollment BRS VIII '!H425+'Student Enrollment BRS VIII '!H429-'Student Enrollment BRS VIII '!H436</f>
        <v>22308.5</v>
      </c>
      <c r="O79" s="3680">
        <f>'Student Enrollment BRS VIII '!H457+'Student Enrollment BRS VIII '!H461+'Student Enrollment BRS VIII '!H465-'Student Enrollment BRS VIII '!H472</f>
        <v>6225.1</v>
      </c>
      <c r="P79" s="3680">
        <f>'Student Enrollment BRS VIII '!H529+'Student Enrollment BRS VIII '!H533+'Student Enrollment BRS VIII '!H537-'Student Enrollment BRS VIII '!H544</f>
        <v>3029.6000000000004</v>
      </c>
      <c r="Q79" s="3680">
        <f>'Student Enrollment BRS VIII '!H493+'Student Enrollment BRS VIII '!H497+'Student Enrollment BRS VIII '!H501-'Student Enrollment BRS VIII '!H508</f>
        <v>9322.1999999999989</v>
      </c>
      <c r="R79" s="3679">
        <f t="shared" si="5"/>
        <v>206916.37599999999</v>
      </c>
    </row>
    <row r="80" spans="1:27" ht="21">
      <c r="A80" s="3662">
        <v>2011</v>
      </c>
      <c r="B80" s="3678">
        <f>'Student Enrollment BRS VIII '!J637+'Student Enrollment BRS VIII '!J641+'Student Enrollment BRS VIII '!J645-'Student Enrollment BRS VIII '!J652</f>
        <v>8085.1000000000013</v>
      </c>
      <c r="C80" s="3678">
        <f>'Student Enrollment BRS VIII '!J601+'Student Enrollment BRS VIII '!J605+'Student Enrollment BRS VIII '!J609-'Student Enrollment BRS VIII '!J616</f>
        <v>17302.859</v>
      </c>
      <c r="D80" s="3678">
        <f>'Student Enrollment BRS VIII '!J565+'Student Enrollment BRS VIII '!J569+'Student Enrollment BRS VIII '!J573-'Student Enrollment BRS VIII '!J580</f>
        <v>8188.6</v>
      </c>
      <c r="E80" s="3678">
        <f>'Student Enrollment BRS VIII '!J709-'Student Enrollment BRS VIII '!J724</f>
        <v>6946.2</v>
      </c>
      <c r="F80" s="3678">
        <f>'Student Enrollment BRS VIII '!J673-'Student Enrollment BRS VIII '!J688</f>
        <v>70518</v>
      </c>
      <c r="G80" s="3678">
        <f>'Student Enrollment BRS VIII '!J97+'Student Enrollment BRS VIII '!J101+'Student Enrollment BRS VIII '!J105-'Student Enrollment BRS VIII '!J112</f>
        <v>22530.100000000002</v>
      </c>
      <c r="H80" s="3678">
        <f>'Student Enrollment BRS VIII '!J133+'Student Enrollment BRS VIII '!J137+'Student Enrollment BRS VIII '!J141-'Student Enrollment BRS VIII '!J148</f>
        <v>1893.5</v>
      </c>
      <c r="I80" s="3678">
        <f>'Student Enrollment BRS VIII '!J169+'Student Enrollment BRS VIII '!J173+'Student Enrollment BRS VIII '!J177-'Student Enrollment BRS VIII '!J184</f>
        <v>2062.2999999999997</v>
      </c>
      <c r="J80" s="3678">
        <f>'Student Enrollment BRS VIII '!J205+'Student Enrollment BRS VIII '!J209+'Student Enrollment BRS VIII '!J213-'Student Enrollment BRS VIII '!J220</f>
        <v>4501.7000000000007</v>
      </c>
      <c r="K80" s="3678">
        <f>'Student Enrollment BRS VIII '!J241+'Student Enrollment BRS VIII '!J245+'Student Enrollment BRS VIII '!J249-'Student Enrollment BRS VIII '!J256</f>
        <v>5398.4999999999991</v>
      </c>
      <c r="L80" s="3678">
        <f>'Student Enrollment BRS VIII '!J277+'Student Enrollment BRS VIII '!J281+'Student Enrollment BRS VIII '!J285-'Student Enrollment BRS VIII '!J292</f>
        <v>3733.3</v>
      </c>
      <c r="M80" s="3678">
        <f>'Student Enrollment BRS VIII '!J349+'Student Enrollment BRS VIII '!J353+'Student Enrollment BRS VIII '!J357-'Student Enrollment BRS VIII '!J364</f>
        <v>20636.02</v>
      </c>
      <c r="N80" s="3678">
        <f>'Student Enrollment BRS VIII '!J421+'Student Enrollment BRS VIII '!J425+'Student Enrollment BRS VIII '!J429-'Student Enrollment BRS VIII '!J436</f>
        <v>21519.4</v>
      </c>
      <c r="O80" s="3678">
        <f>'Student Enrollment BRS VIII '!J457+'Student Enrollment BRS VIII '!J461+'Student Enrollment BRS VIII '!J465-'Student Enrollment BRS VIII '!J472</f>
        <v>5959.5</v>
      </c>
      <c r="P80" s="3678">
        <f>'Student Enrollment BRS VIII '!J529+'Student Enrollment BRS VIII '!J533+'Student Enrollment BRS VIII '!J537-'Student Enrollment BRS VIII '!J544</f>
        <v>3035.7</v>
      </c>
      <c r="Q80" s="3678">
        <f>'Student Enrollment BRS VIII '!J493+'Student Enrollment BRS VIII '!J497+'Student Enrollment BRS VIII '!J501-'Student Enrollment BRS VIII '!J508</f>
        <v>9397.2999999999993</v>
      </c>
      <c r="R80" s="3679">
        <f t="shared" si="5"/>
        <v>211708.07899999997</v>
      </c>
    </row>
    <row r="81" spans="1:27" ht="21">
      <c r="A81" s="3662">
        <v>2012</v>
      </c>
      <c r="B81" s="3678">
        <v>8085.1000000000013</v>
      </c>
      <c r="C81" s="3678">
        <v>17302.859</v>
      </c>
      <c r="D81" s="3678">
        <v>8188.6</v>
      </c>
      <c r="E81" s="3678">
        <v>6946.2</v>
      </c>
      <c r="F81" s="3678">
        <v>70518</v>
      </c>
      <c r="G81" s="3678">
        <v>22530.100000000002</v>
      </c>
      <c r="H81" s="3678">
        <v>1893.5</v>
      </c>
      <c r="I81" s="3678">
        <v>2062.2999999999997</v>
      </c>
      <c r="J81" s="3678">
        <v>4501.7000000000007</v>
      </c>
      <c r="K81" s="3678">
        <v>5398.4999999999991</v>
      </c>
      <c r="L81" s="3678">
        <v>3733.3</v>
      </c>
      <c r="M81" s="3678">
        <v>20636.02</v>
      </c>
      <c r="N81" s="3678">
        <v>21519.4</v>
      </c>
      <c r="O81" s="3678">
        <v>5959.5</v>
      </c>
      <c r="P81" s="3678">
        <v>3035.7</v>
      </c>
      <c r="Q81" s="3678">
        <v>9397.2999999999993</v>
      </c>
      <c r="R81" s="3679">
        <f t="shared" si="5"/>
        <v>211708.07899999997</v>
      </c>
    </row>
    <row r="82" spans="1:27" ht="21">
      <c r="A82" s="3662">
        <v>2013</v>
      </c>
      <c r="B82" s="3678">
        <v>8085.1000000000013</v>
      </c>
      <c r="C82" s="3678">
        <v>17302.859</v>
      </c>
      <c r="D82" s="3678">
        <v>8188.6</v>
      </c>
      <c r="E82" s="3678">
        <v>6946.2</v>
      </c>
      <c r="F82" s="3678">
        <v>70518</v>
      </c>
      <c r="G82" s="3678">
        <v>22530.100000000002</v>
      </c>
      <c r="H82" s="3678">
        <v>1893.5</v>
      </c>
      <c r="I82" s="3678">
        <v>2062.2999999999997</v>
      </c>
      <c r="J82" s="3678">
        <v>4501.7000000000007</v>
      </c>
      <c r="K82" s="3678">
        <v>5398.4999999999991</v>
      </c>
      <c r="L82" s="3678">
        <v>3733.3</v>
      </c>
      <c r="M82" s="3678">
        <v>20636.02</v>
      </c>
      <c r="N82" s="3678">
        <v>21519.4</v>
      </c>
      <c r="O82" s="3678">
        <v>5959.5</v>
      </c>
      <c r="P82" s="3678">
        <v>3035.7</v>
      </c>
      <c r="Q82" s="3678">
        <v>9397.2999999999993</v>
      </c>
      <c r="R82" s="3679">
        <f t="shared" si="5"/>
        <v>211708.07899999997</v>
      </c>
    </row>
    <row r="83" spans="1:27" ht="21">
      <c r="A83" s="3662">
        <v>2014</v>
      </c>
      <c r="B83" s="3678">
        <v>8085.1000000000013</v>
      </c>
      <c r="C83" s="3678">
        <v>17302.859</v>
      </c>
      <c r="D83" s="3678">
        <v>8188.6</v>
      </c>
      <c r="E83" s="3678">
        <v>6946.2</v>
      </c>
      <c r="F83" s="3678">
        <v>70518</v>
      </c>
      <c r="G83" s="3678">
        <v>22530.100000000002</v>
      </c>
      <c r="H83" s="3678">
        <v>1893.5</v>
      </c>
      <c r="I83" s="3678">
        <v>2062.2999999999997</v>
      </c>
      <c r="J83" s="3678">
        <v>4501.7000000000007</v>
      </c>
      <c r="K83" s="3678">
        <v>5398.4999999999991</v>
      </c>
      <c r="L83" s="3678">
        <v>3733.3</v>
      </c>
      <c r="M83" s="3678">
        <v>20636.02</v>
      </c>
      <c r="N83" s="3678">
        <v>21519.4</v>
      </c>
      <c r="O83" s="3678">
        <v>5959.5</v>
      </c>
      <c r="P83" s="3678">
        <v>3035.7</v>
      </c>
      <c r="Q83" s="3678">
        <v>9397.2999999999993</v>
      </c>
      <c r="R83" s="3679">
        <f t="shared" si="5"/>
        <v>211708.07899999997</v>
      </c>
    </row>
    <row r="84" spans="1:27" ht="21">
      <c r="A84" s="3662">
        <v>2015</v>
      </c>
      <c r="B84" s="3678">
        <v>8085.1000000000013</v>
      </c>
      <c r="C84" s="3678">
        <v>17302.859</v>
      </c>
      <c r="D84" s="3678">
        <v>8188.6</v>
      </c>
      <c r="E84" s="3678">
        <v>6946.2</v>
      </c>
      <c r="F84" s="3678">
        <v>70518</v>
      </c>
      <c r="G84" s="3678">
        <v>22530.100000000002</v>
      </c>
      <c r="H84" s="3678">
        <v>1893.5</v>
      </c>
      <c r="I84" s="3678">
        <v>2062.2999999999997</v>
      </c>
      <c r="J84" s="3678">
        <v>4501.7000000000007</v>
      </c>
      <c r="K84" s="3678">
        <v>5398.4999999999991</v>
      </c>
      <c r="L84" s="3678">
        <v>3733.3</v>
      </c>
      <c r="M84" s="3678">
        <v>20636.02</v>
      </c>
      <c r="N84" s="3678">
        <v>21519.4</v>
      </c>
      <c r="O84" s="3678">
        <v>5959.5</v>
      </c>
      <c r="P84" s="3678">
        <v>3035.7</v>
      </c>
      <c r="Q84" s="3678">
        <v>9397.2999999999993</v>
      </c>
      <c r="R84" s="3679">
        <f t="shared" si="5"/>
        <v>211708.07899999997</v>
      </c>
    </row>
    <row r="85" spans="1:27" ht="21">
      <c r="A85" s="3662" t="s">
        <v>418</v>
      </c>
      <c r="B85" s="3666">
        <f t="shared" ref="B85:R85" si="6">B84/B82-1</f>
        <v>0</v>
      </c>
      <c r="C85" s="3666">
        <f t="shared" si="6"/>
        <v>0</v>
      </c>
      <c r="D85" s="3666">
        <f t="shared" si="6"/>
        <v>0</v>
      </c>
      <c r="E85" s="3666">
        <f t="shared" si="6"/>
        <v>0</v>
      </c>
      <c r="F85" s="3666">
        <f t="shared" si="6"/>
        <v>0</v>
      </c>
      <c r="G85" s="3666">
        <f t="shared" si="6"/>
        <v>0</v>
      </c>
      <c r="H85" s="3666">
        <f t="shared" si="6"/>
        <v>0</v>
      </c>
      <c r="I85" s="3666">
        <f t="shared" si="6"/>
        <v>0</v>
      </c>
      <c r="J85" s="3666">
        <f t="shared" si="6"/>
        <v>0</v>
      </c>
      <c r="K85" s="3666">
        <f t="shared" si="6"/>
        <v>0</v>
      </c>
      <c r="L85" s="3666">
        <f t="shared" si="6"/>
        <v>0</v>
      </c>
      <c r="M85" s="3666">
        <f t="shared" si="6"/>
        <v>0</v>
      </c>
      <c r="N85" s="3666">
        <f t="shared" si="6"/>
        <v>0</v>
      </c>
      <c r="O85" s="3666">
        <f t="shared" si="6"/>
        <v>0</v>
      </c>
      <c r="P85" s="3666">
        <f t="shared" si="6"/>
        <v>0</v>
      </c>
      <c r="Q85" s="3666">
        <f t="shared" si="6"/>
        <v>0</v>
      </c>
      <c r="R85" s="3667">
        <f t="shared" si="6"/>
        <v>0</v>
      </c>
      <c r="S85" s="3659"/>
      <c r="T85" s="3659"/>
      <c r="U85" s="3659"/>
      <c r="V85" s="3659"/>
      <c r="W85" s="3652"/>
      <c r="X85" s="3659"/>
      <c r="Y85" s="3659"/>
      <c r="Z85" s="3659"/>
      <c r="AA85" s="3659"/>
    </row>
    <row r="86" spans="1:27" ht="21">
      <c r="A86" s="3662" t="s">
        <v>419</v>
      </c>
      <c r="B86" s="3666">
        <f t="shared" ref="B86:R86" si="7">B84/B80-1</f>
        <v>0</v>
      </c>
      <c r="C86" s="3666">
        <f t="shared" si="7"/>
        <v>0</v>
      </c>
      <c r="D86" s="3666">
        <f t="shared" si="7"/>
        <v>0</v>
      </c>
      <c r="E86" s="3666">
        <f t="shared" si="7"/>
        <v>0</v>
      </c>
      <c r="F86" s="3666">
        <f t="shared" si="7"/>
        <v>0</v>
      </c>
      <c r="G86" s="3666">
        <f t="shared" si="7"/>
        <v>0</v>
      </c>
      <c r="H86" s="3666">
        <f t="shared" si="7"/>
        <v>0</v>
      </c>
      <c r="I86" s="3666">
        <f t="shared" si="7"/>
        <v>0</v>
      </c>
      <c r="J86" s="3666">
        <f t="shared" si="7"/>
        <v>0</v>
      </c>
      <c r="K86" s="3666">
        <f t="shared" si="7"/>
        <v>0</v>
      </c>
      <c r="L86" s="3666">
        <f t="shared" si="7"/>
        <v>0</v>
      </c>
      <c r="M86" s="3666">
        <f t="shared" si="7"/>
        <v>0</v>
      </c>
      <c r="N86" s="3666">
        <f t="shared" si="7"/>
        <v>0</v>
      </c>
      <c r="O86" s="3666">
        <f t="shared" si="7"/>
        <v>0</v>
      </c>
      <c r="P86" s="3666">
        <f t="shared" si="7"/>
        <v>0</v>
      </c>
      <c r="Q86" s="3666">
        <f t="shared" si="7"/>
        <v>0</v>
      </c>
      <c r="R86" s="3667">
        <f t="shared" si="7"/>
        <v>0</v>
      </c>
      <c r="S86" s="3659"/>
      <c r="T86" s="3659"/>
      <c r="U86" s="3659"/>
      <c r="V86" s="3659"/>
      <c r="W86" s="3652"/>
      <c r="X86" s="3659"/>
      <c r="Y86" s="3659"/>
      <c r="Z86" s="3659"/>
      <c r="AA86" s="3659"/>
    </row>
    <row r="87" spans="1:27" ht="21.6" thickBot="1">
      <c r="A87" s="3668" t="s">
        <v>420</v>
      </c>
      <c r="B87" s="3669">
        <f>B84/B76-1</f>
        <v>4.9045685147461437E-2</v>
      </c>
      <c r="C87" s="3669">
        <f t="shared" ref="C87:R87" si="8">C84/C76-1</f>
        <v>7.6270258683910352E-2</v>
      </c>
      <c r="D87" s="3669">
        <f t="shared" si="8"/>
        <v>4.8785173610666366E-2</v>
      </c>
      <c r="E87" s="3669">
        <f t="shared" si="8"/>
        <v>0.24099119218194476</v>
      </c>
      <c r="F87" s="3669">
        <f t="shared" si="8"/>
        <v>0.63456701984390973</v>
      </c>
      <c r="G87" s="3669">
        <f t="shared" si="8"/>
        <v>4.2288119911177091E-2</v>
      </c>
      <c r="H87" s="3669">
        <f t="shared" si="8"/>
        <v>0.3717038539553752</v>
      </c>
      <c r="I87" s="3669">
        <f t="shared" si="8"/>
        <v>8.4222701224961893E-2</v>
      </c>
      <c r="J87" s="3669">
        <f t="shared" si="8"/>
        <v>0.24624882343170373</v>
      </c>
      <c r="K87" s="3669">
        <f t="shared" si="8"/>
        <v>0.15668923551594083</v>
      </c>
      <c r="L87" s="3669">
        <f t="shared" si="8"/>
        <v>9.5002053147181575E-2</v>
      </c>
      <c r="M87" s="3669">
        <f t="shared" si="8"/>
        <v>6.9673318684691177E-2</v>
      </c>
      <c r="N87" s="3669">
        <f t="shared" si="8"/>
        <v>-7.0725303577289123E-2</v>
      </c>
      <c r="O87" s="3669">
        <f t="shared" si="8"/>
        <v>2.1039285897853199E-2</v>
      </c>
      <c r="P87" s="3669">
        <f t="shared" si="8"/>
        <v>0.15606077916143035</v>
      </c>
      <c r="Q87" s="3669">
        <f t="shared" si="8"/>
        <v>0.14389181030285325</v>
      </c>
      <c r="R87" s="3670">
        <f t="shared" si="8"/>
        <v>0.20258154810657247</v>
      </c>
      <c r="S87" s="3659"/>
      <c r="T87" s="3659"/>
      <c r="U87" s="3659"/>
      <c r="V87" s="3659"/>
      <c r="W87" s="3652"/>
      <c r="X87" s="3659"/>
      <c r="Y87" s="3659"/>
      <c r="Z87" s="3659"/>
      <c r="AA87" s="3659"/>
    </row>
    <row r="88" spans="1:27" ht="21.6" thickBot="1">
      <c r="A88" s="3681"/>
      <c r="B88" s="3682"/>
      <c r="C88" s="3682"/>
      <c r="D88" s="3682"/>
      <c r="E88" s="3682"/>
      <c r="F88" s="3682"/>
      <c r="G88" s="3682"/>
      <c r="H88" s="3682"/>
      <c r="I88" s="3682"/>
      <c r="J88" s="3682"/>
      <c r="K88" s="3682"/>
      <c r="L88" s="3682"/>
      <c r="M88" s="3682"/>
      <c r="N88" s="3682"/>
      <c r="O88" s="3682"/>
      <c r="P88" s="3682"/>
      <c r="Q88" s="3682"/>
      <c r="R88" s="3683"/>
    </row>
    <row r="89" spans="1:27" ht="22.2" thickTop="1" thickBot="1">
      <c r="A89" s="4505" t="s">
        <v>422</v>
      </c>
      <c r="B89" s="4505"/>
      <c r="C89" s="4505"/>
      <c r="D89" s="4505"/>
      <c r="E89" s="4505"/>
      <c r="F89" s="4505"/>
      <c r="G89" s="4505"/>
      <c r="H89" s="4505"/>
      <c r="I89" s="4505"/>
      <c r="J89" s="4505"/>
      <c r="K89" s="4505"/>
      <c r="L89" s="4505"/>
      <c r="M89" s="4505"/>
      <c r="N89" s="4505"/>
      <c r="O89" s="4505"/>
      <c r="P89" s="4505"/>
      <c r="Q89" s="4505"/>
      <c r="R89" s="4505"/>
    </row>
    <row r="90" spans="1:27" ht="21.6" thickBot="1">
      <c r="A90" s="3684"/>
      <c r="B90" s="3685" t="s">
        <v>277</v>
      </c>
      <c r="C90" s="3685" t="s">
        <v>276</v>
      </c>
      <c r="D90" s="3685" t="s">
        <v>275</v>
      </c>
      <c r="E90" s="3685" t="s">
        <v>406</v>
      </c>
      <c r="F90" s="3685" t="s">
        <v>407</v>
      </c>
      <c r="G90" s="3685" t="s">
        <v>408</v>
      </c>
      <c r="H90" s="3685" t="s">
        <v>409</v>
      </c>
      <c r="I90" s="3685" t="s">
        <v>410</v>
      </c>
      <c r="J90" s="3685" t="s">
        <v>411</v>
      </c>
      <c r="K90" s="3685" t="s">
        <v>412</v>
      </c>
      <c r="L90" s="3685" t="s">
        <v>413</v>
      </c>
      <c r="M90" s="3685" t="s">
        <v>327</v>
      </c>
      <c r="N90" s="3685" t="s">
        <v>414</v>
      </c>
      <c r="O90" s="3685" t="s">
        <v>415</v>
      </c>
      <c r="P90" s="3685" t="s">
        <v>416</v>
      </c>
      <c r="Q90" s="3685" t="s">
        <v>272</v>
      </c>
      <c r="R90" s="3686" t="s">
        <v>417</v>
      </c>
      <c r="T90" s="4388" t="s">
        <v>909</v>
      </c>
      <c r="U90" s="4389" t="s">
        <v>910</v>
      </c>
    </row>
    <row r="91" spans="1:27" ht="21" hidden="1">
      <c r="A91" s="3687">
        <v>1999</v>
      </c>
      <c r="B91" s="3688">
        <f t="shared" ref="B91:R91" si="9">B28/B68</f>
        <v>3879.2028851342166</v>
      </c>
      <c r="C91" s="3688">
        <f t="shared" si="9"/>
        <v>6995.3043141964235</v>
      </c>
      <c r="D91" s="3688">
        <f t="shared" si="9"/>
        <v>85007.210633969938</v>
      </c>
      <c r="E91" s="3688">
        <f t="shared" si="9"/>
        <v>4391.1504835361393</v>
      </c>
      <c r="F91" s="3688">
        <f t="shared" si="9"/>
        <v>3309.8496465545591</v>
      </c>
      <c r="G91" s="3688">
        <f t="shared" si="9"/>
        <v>7814.4760600790405</v>
      </c>
      <c r="H91" s="3688">
        <f t="shared" si="9"/>
        <v>4753.7354860816213</v>
      </c>
      <c r="I91" s="3688">
        <f t="shared" si="9"/>
        <v>5709.3070599177854</v>
      </c>
      <c r="J91" s="3688">
        <f t="shared" si="9"/>
        <v>5110.4402874254411</v>
      </c>
      <c r="K91" s="3688">
        <f t="shared" si="9"/>
        <v>4289.6935684521877</v>
      </c>
      <c r="L91" s="3688">
        <f t="shared" si="9"/>
        <v>3942.4825566565528</v>
      </c>
      <c r="M91" s="3688">
        <f t="shared" si="9"/>
        <v>3567.18893524539</v>
      </c>
      <c r="N91" s="3688">
        <f t="shared" si="9"/>
        <v>8389.4779393838344</v>
      </c>
      <c r="O91" s="3688">
        <f t="shared" si="9"/>
        <v>4131.0104196718057</v>
      </c>
      <c r="P91" s="3688">
        <f t="shared" si="9"/>
        <v>3663.3790380939813</v>
      </c>
      <c r="Q91" s="3688">
        <f t="shared" si="9"/>
        <v>4007.1892693448372</v>
      </c>
      <c r="R91" s="3689">
        <f t="shared" si="9"/>
        <v>6003.1682407105209</v>
      </c>
      <c r="T91" s="4385"/>
      <c r="U91" s="4390"/>
    </row>
    <row r="92" spans="1:27" ht="21" hidden="1">
      <c r="A92" s="3662">
        <v>2000</v>
      </c>
      <c r="B92" s="3690">
        <f t="shared" ref="B92:R92" si="10">B29/B69</f>
        <v>4400.462952767044</v>
      </c>
      <c r="C92" s="3690">
        <f t="shared" si="10"/>
        <v>7330.0856550813423</v>
      </c>
      <c r="D92" s="3690">
        <f t="shared" si="10"/>
        <v>8734.0197711014534</v>
      </c>
      <c r="E92" s="3690">
        <f t="shared" si="10"/>
        <v>4477.5053365178146</v>
      </c>
      <c r="F92" s="3690">
        <f t="shared" si="10"/>
        <v>3676.0903714727956</v>
      </c>
      <c r="G92" s="3690">
        <f t="shared" si="10"/>
        <v>8018.0208856874488</v>
      </c>
      <c r="H92" s="3690">
        <f t="shared" si="10"/>
        <v>5107.6967321579405</v>
      </c>
      <c r="I92" s="3690">
        <f t="shared" si="10"/>
        <v>6008.024828912281</v>
      </c>
      <c r="J92" s="3690">
        <f t="shared" si="10"/>
        <v>5296.6636741074844</v>
      </c>
      <c r="K92" s="3690">
        <f t="shared" si="10"/>
        <v>4667.2888860139865</v>
      </c>
      <c r="L92" s="3690">
        <f t="shared" si="10"/>
        <v>4165.2738315694951</v>
      </c>
      <c r="M92" s="3690">
        <f t="shared" si="10"/>
        <v>3898.8232608071216</v>
      </c>
      <c r="N92" s="3690">
        <f t="shared" si="10"/>
        <v>8858.6993142774227</v>
      </c>
      <c r="O92" s="3690">
        <f t="shared" si="10"/>
        <v>4328.7058596394891</v>
      </c>
      <c r="P92" s="3690">
        <f t="shared" si="10"/>
        <v>3966.5467288164214</v>
      </c>
      <c r="Q92" s="3690">
        <f t="shared" si="10"/>
        <v>4114.0328189907441</v>
      </c>
      <c r="R92" s="3664">
        <f t="shared" si="10"/>
        <v>6000.6875506073184</v>
      </c>
      <c r="T92" s="4385"/>
      <c r="U92" s="4390"/>
    </row>
    <row r="93" spans="1:27" ht="21" hidden="1">
      <c r="A93" s="3662">
        <v>2001</v>
      </c>
      <c r="B93" s="3690">
        <f t="shared" ref="B93:R93" si="11">B30/B70</f>
        <v>4491.4571773108537</v>
      </c>
      <c r="C93" s="3690">
        <f t="shared" si="11"/>
        <v>7338.918012762977</v>
      </c>
      <c r="D93" s="3690">
        <f t="shared" si="11"/>
        <v>8777.4175623942829</v>
      </c>
      <c r="E93" s="3690">
        <f t="shared" si="11"/>
        <v>5078.7141269197073</v>
      </c>
      <c r="F93" s="3690">
        <f t="shared" si="11"/>
        <v>3468.8342676179795</v>
      </c>
      <c r="G93" s="3690">
        <f t="shared" si="11"/>
        <v>8143.1750935511818</v>
      </c>
      <c r="H93" s="3690">
        <f t="shared" si="11"/>
        <v>5047.9288655715127</v>
      </c>
      <c r="I93" s="3690">
        <f t="shared" si="11"/>
        <v>5957.0432825325952</v>
      </c>
      <c r="J93" s="3690">
        <f t="shared" si="11"/>
        <v>5628.7287904407276</v>
      </c>
      <c r="K93" s="3690">
        <f t="shared" si="11"/>
        <v>4771.7615539480521</v>
      </c>
      <c r="L93" s="3690">
        <f t="shared" si="11"/>
        <v>4554.4212960609648</v>
      </c>
      <c r="M93" s="3690">
        <f t="shared" si="11"/>
        <v>3988.9611974320969</v>
      </c>
      <c r="N93" s="3690">
        <f t="shared" si="11"/>
        <v>9223.9668319673328</v>
      </c>
      <c r="O93" s="3690">
        <f t="shared" si="11"/>
        <v>4596.1232536441939</v>
      </c>
      <c r="P93" s="3690">
        <f t="shared" si="11"/>
        <v>4041.388139164631</v>
      </c>
      <c r="Q93" s="3690">
        <f t="shared" si="11"/>
        <v>4266.5517738379604</v>
      </c>
      <c r="R93" s="3664">
        <f t="shared" si="11"/>
        <v>6071.4638935011853</v>
      </c>
      <c r="T93" s="4385"/>
      <c r="U93" s="4390"/>
    </row>
    <row r="94" spans="1:27" ht="21" hidden="1">
      <c r="A94" s="3662">
        <v>2002</v>
      </c>
      <c r="B94" s="3690">
        <f t="shared" ref="B94:R94" si="12">B31/B71</f>
        <v>4264.6755817965977</v>
      </c>
      <c r="C94" s="3690">
        <f t="shared" si="12"/>
        <v>6782.5066117395372</v>
      </c>
      <c r="D94" s="3690">
        <f t="shared" si="12"/>
        <v>7575.9083758058368</v>
      </c>
      <c r="E94" s="3690">
        <f t="shared" si="12"/>
        <v>5383.1365669074648</v>
      </c>
      <c r="F94" s="3690">
        <f t="shared" si="12"/>
        <v>3269.6853919398163</v>
      </c>
      <c r="G94" s="3690">
        <f t="shared" si="12"/>
        <v>8081.910828908256</v>
      </c>
      <c r="H94" s="3690">
        <f t="shared" si="12"/>
        <v>4634.3120100419173</v>
      </c>
      <c r="I94" s="3690">
        <f t="shared" si="12"/>
        <v>5731.2595880203626</v>
      </c>
      <c r="J94" s="3690">
        <f t="shared" si="12"/>
        <v>5456.2040235823588</v>
      </c>
      <c r="K94" s="3690">
        <f t="shared" si="12"/>
        <v>4616.4233126406125</v>
      </c>
      <c r="L94" s="3690">
        <f t="shared" si="12"/>
        <v>4936.8608525921645</v>
      </c>
      <c r="M94" s="3690">
        <f t="shared" si="12"/>
        <v>3953.8897019615069</v>
      </c>
      <c r="N94" s="3690">
        <f t="shared" si="12"/>
        <v>9400.0756767297571</v>
      </c>
      <c r="O94" s="3690">
        <f t="shared" si="12"/>
        <v>4648.0612370319377</v>
      </c>
      <c r="P94" s="3690">
        <f t="shared" si="12"/>
        <v>4157.3556131356399</v>
      </c>
      <c r="Q94" s="3690">
        <f t="shared" si="12"/>
        <v>4004.4181652163711</v>
      </c>
      <c r="R94" s="3664">
        <f t="shared" si="12"/>
        <v>5838.671043232107</v>
      </c>
      <c r="T94" s="4385"/>
      <c r="U94" s="4390"/>
    </row>
    <row r="95" spans="1:27" ht="21" hidden="1">
      <c r="A95" s="3662">
        <v>2003</v>
      </c>
      <c r="B95" s="3690">
        <f t="shared" ref="B95:R95" si="13">B32/B72</f>
        <v>4432.9982247074495</v>
      </c>
      <c r="C95" s="3690">
        <f t="shared" si="13"/>
        <v>6871.7910273840625</v>
      </c>
      <c r="D95" s="3690">
        <f t="shared" si="13"/>
        <v>8476.8892809359459</v>
      </c>
      <c r="E95" s="3690">
        <f t="shared" si="13"/>
        <v>5043.9595342540515</v>
      </c>
      <c r="F95" s="3690">
        <f t="shared" si="13"/>
        <v>2973.5770685693819</v>
      </c>
      <c r="G95" s="3690">
        <f t="shared" si="13"/>
        <v>8406.374722947181</v>
      </c>
      <c r="H95" s="3690">
        <f t="shared" si="13"/>
        <v>4696.2928954659028</v>
      </c>
      <c r="I95" s="3690">
        <f t="shared" si="13"/>
        <v>5412.2162123161788</v>
      </c>
      <c r="J95" s="3690">
        <f t="shared" si="13"/>
        <v>4918.0382630348158</v>
      </c>
      <c r="K95" s="3690">
        <f t="shared" si="13"/>
        <v>4491.7211421971524</v>
      </c>
      <c r="L95" s="3690">
        <f t="shared" si="13"/>
        <v>4920.4845834243642</v>
      </c>
      <c r="M95" s="3690">
        <f t="shared" si="13"/>
        <v>4918.0174130433988</v>
      </c>
      <c r="N95" s="3690">
        <f t="shared" si="13"/>
        <v>7491.3160148848447</v>
      </c>
      <c r="O95" s="3690">
        <f t="shared" si="13"/>
        <v>4682.1608294396319</v>
      </c>
      <c r="P95" s="3690">
        <f t="shared" si="13"/>
        <v>3957.012380082931</v>
      </c>
      <c r="Q95" s="3690">
        <f t="shared" si="13"/>
        <v>3935.074498540313</v>
      </c>
      <c r="R95" s="3664">
        <f t="shared" si="13"/>
        <v>5630.0517542729485</v>
      </c>
      <c r="T95" s="4385"/>
      <c r="U95" s="4390"/>
    </row>
    <row r="96" spans="1:27" ht="21" hidden="1">
      <c r="A96" s="3662">
        <v>2004</v>
      </c>
      <c r="B96" s="3690">
        <f t="shared" ref="B96:R96" si="14">B33/B73</f>
        <v>4440.1350503122849</v>
      </c>
      <c r="C96" s="3690">
        <f t="shared" si="14"/>
        <v>6741.6200707993312</v>
      </c>
      <c r="D96" s="3690">
        <f t="shared" si="14"/>
        <v>8622.535880635347</v>
      </c>
      <c r="E96" s="3690">
        <f t="shared" si="14"/>
        <v>5237.4870251948296</v>
      </c>
      <c r="F96" s="3690">
        <f t="shared" si="14"/>
        <v>3043.5354386758731</v>
      </c>
      <c r="G96" s="3690">
        <f t="shared" si="14"/>
        <v>8481.8365157094031</v>
      </c>
      <c r="H96" s="3690">
        <f t="shared" si="14"/>
        <v>4752.7591695844903</v>
      </c>
      <c r="I96" s="3690">
        <f t="shared" si="14"/>
        <v>5020.1795207877494</v>
      </c>
      <c r="J96" s="3690">
        <f t="shared" si="14"/>
        <v>4665.3851066349816</v>
      </c>
      <c r="K96" s="3690">
        <f t="shared" si="14"/>
        <v>4583.9066355968398</v>
      </c>
      <c r="L96" s="3690">
        <f t="shared" si="14"/>
        <v>5186.8191273607745</v>
      </c>
      <c r="M96" s="3690">
        <f t="shared" si="14"/>
        <v>4991.7806842833315</v>
      </c>
      <c r="N96" s="3690">
        <f t="shared" si="14"/>
        <v>7540.7845511893638</v>
      </c>
      <c r="O96" s="3690">
        <f t="shared" si="14"/>
        <v>4521.3234343691965</v>
      </c>
      <c r="P96" s="3690">
        <f t="shared" si="14"/>
        <v>4103.8103457218594</v>
      </c>
      <c r="Q96" s="3690">
        <f t="shared" si="14"/>
        <v>4009.6360517233893</v>
      </c>
      <c r="R96" s="3664">
        <f t="shared" si="14"/>
        <v>5617.6025552020501</v>
      </c>
      <c r="T96" s="4385"/>
      <c r="U96" s="4390"/>
    </row>
    <row r="97" spans="1:27" ht="21" hidden="1">
      <c r="A97" s="3662">
        <v>2005</v>
      </c>
      <c r="B97" s="3690">
        <f t="shared" ref="B97:R97" si="15">B34/B74</f>
        <v>4476.6766778248029</v>
      </c>
      <c r="C97" s="3690">
        <f t="shared" si="15"/>
        <v>6937.708198055735</v>
      </c>
      <c r="D97" s="3690">
        <f t="shared" si="15"/>
        <v>9082.9392822097725</v>
      </c>
      <c r="E97" s="3690">
        <f t="shared" si="15"/>
        <v>5318.9815138774675</v>
      </c>
      <c r="F97" s="3690">
        <f t="shared" si="15"/>
        <v>3218.2482349000597</v>
      </c>
      <c r="G97" s="3690">
        <f t="shared" si="15"/>
        <v>8868.2076150402518</v>
      </c>
      <c r="H97" s="3690">
        <f t="shared" si="15"/>
        <v>5015.9454590114456</v>
      </c>
      <c r="I97" s="3690">
        <f t="shared" si="15"/>
        <v>5053.5753689301591</v>
      </c>
      <c r="J97" s="3690">
        <f t="shared" si="15"/>
        <v>4625.8843660021075</v>
      </c>
      <c r="K97" s="3690">
        <f t="shared" si="15"/>
        <v>4634.5123073119939</v>
      </c>
      <c r="L97" s="3690">
        <f t="shared" si="15"/>
        <v>5395.4353209560977</v>
      </c>
      <c r="M97" s="3690">
        <f t="shared" si="15"/>
        <v>4988.5748316047566</v>
      </c>
      <c r="N97" s="3690">
        <f t="shared" si="15"/>
        <v>7796.4912294854412</v>
      </c>
      <c r="O97" s="3690">
        <f t="shared" si="15"/>
        <v>4524.1668979635388</v>
      </c>
      <c r="P97" s="3690">
        <f t="shared" si="15"/>
        <v>4194.0673166255419</v>
      </c>
      <c r="Q97" s="3690">
        <f t="shared" si="15"/>
        <v>4182.6282485997053</v>
      </c>
      <c r="R97" s="3664">
        <f t="shared" si="15"/>
        <v>5761.4170915805607</v>
      </c>
      <c r="T97" s="4385"/>
      <c r="U97" s="4390"/>
    </row>
    <row r="98" spans="1:27" ht="21" hidden="1">
      <c r="A98" s="3662">
        <v>2006</v>
      </c>
      <c r="B98" s="3690">
        <f t="shared" ref="B98:R98" si="16">B35/B75</f>
        <v>4499.9568673598269</v>
      </c>
      <c r="C98" s="3690">
        <f t="shared" si="16"/>
        <v>7020.8076176642444</v>
      </c>
      <c r="D98" s="3690">
        <f t="shared" si="16"/>
        <v>9360.7590993537942</v>
      </c>
      <c r="E98" s="3690">
        <f t="shared" si="16"/>
        <v>5447.1094486484471</v>
      </c>
      <c r="F98" s="3690">
        <f t="shared" si="16"/>
        <v>3404.6313119823299</v>
      </c>
      <c r="G98" s="3690">
        <f t="shared" si="16"/>
        <v>8697.4805372081919</v>
      </c>
      <c r="H98" s="3690">
        <f t="shared" si="16"/>
        <v>5232.8904756263328</v>
      </c>
      <c r="I98" s="3690">
        <f t="shared" si="16"/>
        <v>5077.4893420209655</v>
      </c>
      <c r="J98" s="3690">
        <f t="shared" si="16"/>
        <v>4847.1509614025363</v>
      </c>
      <c r="K98" s="3690">
        <f t="shared" si="16"/>
        <v>4689.2865937567713</v>
      </c>
      <c r="L98" s="3690">
        <f t="shared" si="16"/>
        <v>5681.8335697835955</v>
      </c>
      <c r="M98" s="3690">
        <f t="shared" si="16"/>
        <v>5138.318087954447</v>
      </c>
      <c r="N98" s="3690">
        <f t="shared" si="16"/>
        <v>7547.8474291774464</v>
      </c>
      <c r="O98" s="3690">
        <f t="shared" si="16"/>
        <v>4459.9767306543636</v>
      </c>
      <c r="P98" s="3690">
        <f t="shared" si="16"/>
        <v>4091.3774394637608</v>
      </c>
      <c r="Q98" s="3690">
        <f t="shared" si="16"/>
        <v>4316.3313863457843</v>
      </c>
      <c r="R98" s="3664">
        <f t="shared" si="16"/>
        <v>5791.4665556937471</v>
      </c>
      <c r="T98" s="4385"/>
      <c r="U98" s="4390"/>
    </row>
    <row r="99" spans="1:27" ht="21">
      <c r="A99" s="3662">
        <v>2007</v>
      </c>
      <c r="B99" s="3690">
        <f t="shared" ref="B99:R99" si="17">B36/B76</f>
        <v>4568.9069818738562</v>
      </c>
      <c r="C99" s="3690">
        <f t="shared" si="17"/>
        <v>7647.2924830403472</v>
      </c>
      <c r="D99" s="3690">
        <f t="shared" si="17"/>
        <v>9466.4462005456153</v>
      </c>
      <c r="E99" s="3690">
        <f t="shared" si="17"/>
        <v>6503.7016061315271</v>
      </c>
      <c r="F99" s="3690">
        <f t="shared" si="17"/>
        <v>3339.26270870179</v>
      </c>
      <c r="G99" s="3690">
        <f t="shared" si="17"/>
        <v>8875.6122316802375</v>
      </c>
      <c r="H99" s="3690">
        <f t="shared" si="17"/>
        <v>5596.4807302231229</v>
      </c>
      <c r="I99" s="3690">
        <f t="shared" si="17"/>
        <v>5322.6691551443146</v>
      </c>
      <c r="J99" s="3690">
        <f t="shared" si="17"/>
        <v>4862.3799900337744</v>
      </c>
      <c r="K99" s="3690">
        <f t="shared" si="17"/>
        <v>4798.5329533767572</v>
      </c>
      <c r="L99" s="3690">
        <f t="shared" si="17"/>
        <v>5646.7299231536344</v>
      </c>
      <c r="M99" s="3690">
        <f t="shared" si="17"/>
        <v>4679.0940130801091</v>
      </c>
      <c r="N99" s="3690">
        <f t="shared" si="17"/>
        <v>7719.0132226694068</v>
      </c>
      <c r="O99" s="3690">
        <f t="shared" si="17"/>
        <v>4555.050799253002</v>
      </c>
      <c r="P99" s="3690">
        <f t="shared" si="17"/>
        <v>4028.9778742526378</v>
      </c>
      <c r="Q99" s="3690">
        <f t="shared" si="17"/>
        <v>4387.377909241407</v>
      </c>
      <c r="R99" s="3664">
        <f t="shared" si="17"/>
        <v>5814.8706922554138</v>
      </c>
      <c r="T99" s="4386">
        <f>AVERAGE(E99:F99)</f>
        <v>4921.4821574166581</v>
      </c>
      <c r="U99" s="4391">
        <f>AVERAGE(B99:D99,G99:Q99)</f>
        <v>5868.1831762548736</v>
      </c>
    </row>
    <row r="100" spans="1:27" ht="21">
      <c r="A100" s="3662">
        <v>2008</v>
      </c>
      <c r="B100" s="3690">
        <f t="shared" ref="B100:R100" si="18">B37/B77</f>
        <v>4916.3544426030558</v>
      </c>
      <c r="C100" s="3690">
        <f t="shared" si="18"/>
        <v>7948.0161346483601</v>
      </c>
      <c r="D100" s="3690">
        <f t="shared" si="18"/>
        <v>9787.0692155914749</v>
      </c>
      <c r="E100" s="3690">
        <f t="shared" si="18"/>
        <v>6352.8701157619589</v>
      </c>
      <c r="F100" s="3690">
        <f t="shared" si="18"/>
        <v>3292.7662258672531</v>
      </c>
      <c r="G100" s="3690">
        <f t="shared" si="18"/>
        <v>9097.322947372375</v>
      </c>
      <c r="H100" s="3690">
        <f t="shared" si="18"/>
        <v>5702.0894564131831</v>
      </c>
      <c r="I100" s="3690">
        <f t="shared" si="18"/>
        <v>5459.5234832112174</v>
      </c>
      <c r="J100" s="3690">
        <f t="shared" si="18"/>
        <v>5029.4504998023376</v>
      </c>
      <c r="K100" s="3690">
        <f t="shared" si="18"/>
        <v>4864.6105051111153</v>
      </c>
      <c r="L100" s="3690">
        <f t="shared" si="18"/>
        <v>6000.4747828185327</v>
      </c>
      <c r="M100" s="3690">
        <f t="shared" si="18"/>
        <v>4092.6913913303333</v>
      </c>
      <c r="N100" s="3690">
        <f t="shared" si="18"/>
        <v>7770.0709384912425</v>
      </c>
      <c r="O100" s="3690">
        <f t="shared" si="18"/>
        <v>4630.1624933859039</v>
      </c>
      <c r="P100" s="3690">
        <f t="shared" si="18"/>
        <v>4124.929060937211</v>
      </c>
      <c r="Q100" s="3690">
        <f t="shared" si="18"/>
        <v>4431.6101725270128</v>
      </c>
      <c r="R100" s="3664">
        <f t="shared" si="18"/>
        <v>5781.9932762706958</v>
      </c>
      <c r="T100" s="4386">
        <f t="shared" ref="T100:T107" si="19">AVERAGE(E100:F100)</f>
        <v>4822.8181708146058</v>
      </c>
      <c r="U100" s="4391">
        <f t="shared" ref="U100:U106" si="20">AVERAGE(B100:D100,G100:Q100)</f>
        <v>5989.5982517316679</v>
      </c>
    </row>
    <row r="101" spans="1:27" ht="21">
      <c r="A101" s="3662">
        <v>2009</v>
      </c>
      <c r="B101" s="3690">
        <f t="shared" ref="B101:R101" si="21">B38/B78</f>
        <v>5142.4715739078401</v>
      </c>
      <c r="C101" s="3690">
        <f t="shared" si="21"/>
        <v>8113.6717175523281</v>
      </c>
      <c r="D101" s="3690">
        <f t="shared" si="21"/>
        <v>10313.397564834928</v>
      </c>
      <c r="E101" s="3690">
        <f t="shared" si="21"/>
        <v>6356.4819013751367</v>
      </c>
      <c r="F101" s="3690">
        <f t="shared" si="21"/>
        <v>3182.4498085612504</v>
      </c>
      <c r="G101" s="3690">
        <f t="shared" si="21"/>
        <v>9266.7010077771611</v>
      </c>
      <c r="H101" s="3690">
        <f t="shared" si="21"/>
        <v>5400.1278307702296</v>
      </c>
      <c r="I101" s="3690">
        <f t="shared" si="21"/>
        <v>5944.3098142653043</v>
      </c>
      <c r="J101" s="3690">
        <f t="shared" si="21"/>
        <v>4867.6178412612853</v>
      </c>
      <c r="K101" s="3690">
        <f t="shared" si="21"/>
        <v>4754.1702301790292</v>
      </c>
      <c r="L101" s="3690">
        <f t="shared" si="21"/>
        <v>6031.7668161434967</v>
      </c>
      <c r="M101" s="3690">
        <f t="shared" si="21"/>
        <v>4172.7259796030603</v>
      </c>
      <c r="N101" s="3690">
        <f t="shared" si="21"/>
        <v>8334.8226241367993</v>
      </c>
      <c r="O101" s="3690">
        <f t="shared" si="21"/>
        <v>4795.632160462349</v>
      </c>
      <c r="P101" s="3690">
        <f t="shared" si="21"/>
        <v>4205.3978849734749</v>
      </c>
      <c r="Q101" s="3690">
        <f t="shared" si="21"/>
        <v>4464.355130854794</v>
      </c>
      <c r="R101" s="3664">
        <f t="shared" si="21"/>
        <v>5834.3868542485861</v>
      </c>
      <c r="T101" s="4386">
        <f t="shared" si="19"/>
        <v>4769.4658549681935</v>
      </c>
      <c r="U101" s="4391">
        <f t="shared" si="20"/>
        <v>6129.0834411944352</v>
      </c>
    </row>
    <row r="102" spans="1:27" ht="21">
      <c r="A102" s="3662">
        <v>2010</v>
      </c>
      <c r="B102" s="3690">
        <f t="shared" ref="B102:R102" si="22">B39/B79</f>
        <v>4792.6426651282118</v>
      </c>
      <c r="C102" s="3690">
        <f t="shared" si="22"/>
        <v>7416.27378499719</v>
      </c>
      <c r="D102" s="3690">
        <f t="shared" si="22"/>
        <v>9609.7072361875707</v>
      </c>
      <c r="E102" s="3690">
        <f t="shared" si="22"/>
        <v>5523.9747866906791</v>
      </c>
      <c r="F102" s="3690">
        <f t="shared" si="22"/>
        <v>2462.6218773355859</v>
      </c>
      <c r="G102" s="3690">
        <f t="shared" si="22"/>
        <v>8696.9279645891347</v>
      </c>
      <c r="H102" s="3690">
        <f t="shared" si="22"/>
        <v>4496.0464329989854</v>
      </c>
      <c r="I102" s="3690">
        <f t="shared" si="22"/>
        <v>5149.4251793222857</v>
      </c>
      <c r="J102" s="3690">
        <f t="shared" si="22"/>
        <v>4056.9772256728775</v>
      </c>
      <c r="K102" s="3690">
        <f t="shared" si="22"/>
        <v>4121.5945237076576</v>
      </c>
      <c r="L102" s="3690">
        <f t="shared" si="22"/>
        <v>5518.6191198786037</v>
      </c>
      <c r="M102" s="3690">
        <f t="shared" si="22"/>
        <v>3932.8724923315585</v>
      </c>
      <c r="N102" s="3690">
        <f t="shared" si="22"/>
        <v>7937.8034829773405</v>
      </c>
      <c r="O102" s="3690">
        <f t="shared" si="22"/>
        <v>4341.8235851632899</v>
      </c>
      <c r="P102" s="3690">
        <f t="shared" si="22"/>
        <v>3910.6627937681537</v>
      </c>
      <c r="Q102" s="3690">
        <f t="shared" si="22"/>
        <v>4009.6544807019809</v>
      </c>
      <c r="R102" s="3664">
        <f t="shared" si="22"/>
        <v>5051.3458780082256</v>
      </c>
      <c r="T102" s="4386">
        <f t="shared" si="19"/>
        <v>3993.2983320131325</v>
      </c>
      <c r="U102" s="4391">
        <f t="shared" si="20"/>
        <v>5570.7879262446313</v>
      </c>
    </row>
    <row r="103" spans="1:27" ht="21">
      <c r="A103" s="3662">
        <v>2011</v>
      </c>
      <c r="B103" s="3690">
        <f t="shared" ref="B103:R103" si="23">B40/B80</f>
        <v>4845.0068644791027</v>
      </c>
      <c r="C103" s="3690">
        <f t="shared" si="23"/>
        <v>7234.8059936222098</v>
      </c>
      <c r="D103" s="3690">
        <f t="shared" si="23"/>
        <v>8736.0780841657906</v>
      </c>
      <c r="E103" s="3690">
        <f t="shared" si="23"/>
        <v>5354.0838156114132</v>
      </c>
      <c r="F103" s="3690">
        <f t="shared" si="23"/>
        <v>2493.5783913327095</v>
      </c>
      <c r="G103" s="3690">
        <f t="shared" si="23"/>
        <v>8462.9045587902401</v>
      </c>
      <c r="H103" s="3690">
        <f t="shared" si="23"/>
        <v>4170.0580934776872</v>
      </c>
      <c r="I103" s="3690">
        <f t="shared" si="23"/>
        <v>5016.7264704456193</v>
      </c>
      <c r="J103" s="3690">
        <f t="shared" si="23"/>
        <v>3765.1358375724722</v>
      </c>
      <c r="K103" s="3690">
        <f t="shared" si="23"/>
        <v>4033.142169121053</v>
      </c>
      <c r="L103" s="3690">
        <f t="shared" si="23"/>
        <v>5316.1323761819303</v>
      </c>
      <c r="M103" s="3690">
        <f t="shared" si="23"/>
        <v>3887.9893506596718</v>
      </c>
      <c r="N103" s="3690">
        <f t="shared" si="23"/>
        <v>7883.6557710716834</v>
      </c>
      <c r="O103" s="3690">
        <f t="shared" si="23"/>
        <v>4488.766003859384</v>
      </c>
      <c r="P103" s="3690">
        <f t="shared" si="23"/>
        <v>4051.5327601541658</v>
      </c>
      <c r="Q103" s="3690">
        <f t="shared" si="23"/>
        <v>4024.2299383865579</v>
      </c>
      <c r="R103" s="3664">
        <f t="shared" si="23"/>
        <v>4927.3342846779133</v>
      </c>
      <c r="T103" s="4386">
        <f t="shared" si="19"/>
        <v>3923.8311034720614</v>
      </c>
      <c r="U103" s="4391">
        <f t="shared" si="20"/>
        <v>5422.5831622848264</v>
      </c>
    </row>
    <row r="104" spans="1:27" ht="21">
      <c r="A104" s="3662">
        <v>2012</v>
      </c>
      <c r="B104" s="3690">
        <f t="shared" ref="B104:Q107" si="24">B41/B81</f>
        <v>4960.9148928275463</v>
      </c>
      <c r="C104" s="3690">
        <f t="shared" si="24"/>
        <v>6861.4681539045077</v>
      </c>
      <c r="D104" s="3690">
        <f t="shared" si="24"/>
        <v>8261.5444642551829</v>
      </c>
      <c r="E104" s="3690">
        <f t="shared" si="24"/>
        <v>5370.1848492701047</v>
      </c>
      <c r="F104" s="3690">
        <f t="shared" si="24"/>
        <v>2643.5511642417537</v>
      </c>
      <c r="G104" s="3690">
        <f t="shared" si="24"/>
        <v>8001.2276021855196</v>
      </c>
      <c r="H104" s="3690">
        <f t="shared" si="24"/>
        <v>4399.7470293107999</v>
      </c>
      <c r="I104" s="3690">
        <f t="shared" si="24"/>
        <v>5505.8342627163856</v>
      </c>
      <c r="J104" s="3690">
        <f t="shared" si="24"/>
        <v>3615.3826332274466</v>
      </c>
      <c r="K104" s="3690">
        <f t="shared" si="24"/>
        <v>4030.1731962582207</v>
      </c>
      <c r="L104" s="3690">
        <f t="shared" si="24"/>
        <v>5083.1326172555109</v>
      </c>
      <c r="M104" s="3690">
        <f t="shared" si="24"/>
        <v>4149.4504754308246</v>
      </c>
      <c r="N104" s="3690">
        <f t="shared" si="24"/>
        <v>7462.5299032500898</v>
      </c>
      <c r="O104" s="3690">
        <f t="shared" si="24"/>
        <v>4504.5624632939007</v>
      </c>
      <c r="P104" s="3690">
        <f t="shared" si="24"/>
        <v>4306.613960536285</v>
      </c>
      <c r="Q104" s="3690">
        <f t="shared" si="24"/>
        <v>4103.6308301320596</v>
      </c>
      <c r="R104" s="3664">
        <f t="shared" ref="R104:R107" si="25">R41/R81</f>
        <v>4874.0009397562962</v>
      </c>
      <c r="T104" s="4386">
        <f t="shared" si="19"/>
        <v>4006.8680067559289</v>
      </c>
      <c r="U104" s="4391">
        <f t="shared" si="20"/>
        <v>5374.7294631845916</v>
      </c>
    </row>
    <row r="105" spans="1:27" ht="21">
      <c r="A105" s="3662">
        <v>2013</v>
      </c>
      <c r="B105" s="3690">
        <f t="shared" si="24"/>
        <v>4960.9148928275463</v>
      </c>
      <c r="C105" s="3690">
        <f t="shared" si="24"/>
        <v>6861.4681539045077</v>
      </c>
      <c r="D105" s="3690">
        <f t="shared" si="24"/>
        <v>8261.5444642551829</v>
      </c>
      <c r="E105" s="3690">
        <f t="shared" si="24"/>
        <v>5370.1848492701047</v>
      </c>
      <c r="F105" s="3690">
        <f t="shared" si="24"/>
        <v>2643.5511642417537</v>
      </c>
      <c r="G105" s="3690">
        <f t="shared" si="24"/>
        <v>8001.2276021855196</v>
      </c>
      <c r="H105" s="3690">
        <f t="shared" si="24"/>
        <v>4399.7470293107999</v>
      </c>
      <c r="I105" s="3690">
        <f t="shared" si="24"/>
        <v>5505.8342627163856</v>
      </c>
      <c r="J105" s="3690">
        <f t="shared" si="24"/>
        <v>3615.3826332274466</v>
      </c>
      <c r="K105" s="3690">
        <f t="shared" si="24"/>
        <v>4030.1731962582207</v>
      </c>
      <c r="L105" s="3690">
        <f t="shared" si="24"/>
        <v>5083.1326172555109</v>
      </c>
      <c r="M105" s="3690">
        <f t="shared" si="24"/>
        <v>4366.3285652950517</v>
      </c>
      <c r="N105" s="3690">
        <f t="shared" si="24"/>
        <v>7377.4274375679615</v>
      </c>
      <c r="O105" s="3690">
        <f t="shared" si="24"/>
        <v>4504.5624632939007</v>
      </c>
      <c r="P105" s="3690">
        <f t="shared" si="24"/>
        <v>4306.613960536285</v>
      </c>
      <c r="Q105" s="3690">
        <f t="shared" si="24"/>
        <v>4103.6308301320596</v>
      </c>
      <c r="R105" s="3664">
        <f t="shared" si="25"/>
        <v>4886.4905273643344</v>
      </c>
      <c r="T105" s="4386">
        <f t="shared" si="19"/>
        <v>4006.8680067559289</v>
      </c>
      <c r="U105" s="4391">
        <f t="shared" si="20"/>
        <v>5384.1420077690273</v>
      </c>
    </row>
    <row r="106" spans="1:27" ht="21">
      <c r="A106" s="3662">
        <v>2014</v>
      </c>
      <c r="B106" s="3690">
        <f t="shared" si="24"/>
        <v>5212.9044733728288</v>
      </c>
      <c r="C106" s="3690">
        <f t="shared" si="24"/>
        <v>6818.1318853096282</v>
      </c>
      <c r="D106" s="3690">
        <f t="shared" si="24"/>
        <v>8219.7483001713754</v>
      </c>
      <c r="E106" s="3690">
        <f t="shared" si="24"/>
        <v>5618.3496717041498</v>
      </c>
      <c r="F106" s="3690">
        <f t="shared" si="24"/>
        <v>2840.6178644672282</v>
      </c>
      <c r="G106" s="3690">
        <f t="shared" si="24"/>
        <v>8202.1492018751196</v>
      </c>
      <c r="H106" s="3690">
        <f t="shared" si="24"/>
        <v>4747.2285539521163</v>
      </c>
      <c r="I106" s="3690">
        <f t="shared" si="24"/>
        <v>5850.2576900741888</v>
      </c>
      <c r="J106" s="3690">
        <f t="shared" si="24"/>
        <v>3714.2050323211224</v>
      </c>
      <c r="K106" s="3690">
        <f t="shared" si="24"/>
        <v>4122.4152295267213</v>
      </c>
      <c r="L106" s="3690">
        <f t="shared" si="24"/>
        <v>5114.3063222885921</v>
      </c>
      <c r="M106" s="3690">
        <f t="shared" si="24"/>
        <v>4650.1687642594516</v>
      </c>
      <c r="N106" s="3690">
        <f t="shared" si="24"/>
        <v>7798.9891064862404</v>
      </c>
      <c r="O106" s="3690">
        <f t="shared" si="24"/>
        <v>4672.0970296878932</v>
      </c>
      <c r="P106" s="3690">
        <f t="shared" si="24"/>
        <v>4431.9230064455205</v>
      </c>
      <c r="Q106" s="3690">
        <f t="shared" si="24"/>
        <v>4152.1464865156304</v>
      </c>
      <c r="R106" s="3664">
        <f t="shared" si="25"/>
        <v>5076.7709726134326</v>
      </c>
      <c r="T106" s="4386">
        <f t="shared" si="19"/>
        <v>4229.483768085689</v>
      </c>
      <c r="U106" s="4391">
        <f t="shared" si="20"/>
        <v>5550.4765058776011</v>
      </c>
    </row>
    <row r="107" spans="1:27" ht="21.6" thickBot="1">
      <c r="A107" s="3662">
        <v>2015</v>
      </c>
      <c r="B107" s="3690">
        <f t="shared" si="24"/>
        <v>5212.9044733728288</v>
      </c>
      <c r="C107" s="3690">
        <f t="shared" si="24"/>
        <v>6818.1318853096282</v>
      </c>
      <c r="D107" s="3690">
        <f t="shared" si="24"/>
        <v>8219.7483001713754</v>
      </c>
      <c r="E107" s="3690">
        <f t="shared" si="24"/>
        <v>5618.3496717041498</v>
      </c>
      <c r="F107" s="3690">
        <f t="shared" si="24"/>
        <v>2840.6178644672282</v>
      </c>
      <c r="G107" s="3690">
        <f t="shared" si="24"/>
        <v>8202.1492018751196</v>
      </c>
      <c r="H107" s="3690">
        <f t="shared" si="24"/>
        <v>4747.2285539521163</v>
      </c>
      <c r="I107" s="3690">
        <f t="shared" si="24"/>
        <v>5850.2576900741888</v>
      </c>
      <c r="J107" s="3690">
        <f t="shared" si="24"/>
        <v>3714.2050323211224</v>
      </c>
      <c r="K107" s="3690">
        <f t="shared" si="24"/>
        <v>4122.4152295267213</v>
      </c>
      <c r="L107" s="3690">
        <f t="shared" si="24"/>
        <v>5114.3063222885921</v>
      </c>
      <c r="M107" s="3690">
        <f t="shared" si="24"/>
        <v>4650.1687642594516</v>
      </c>
      <c r="N107" s="3690">
        <f t="shared" si="24"/>
        <v>7709.5782957759047</v>
      </c>
      <c r="O107" s="3690">
        <f t="shared" si="24"/>
        <v>4672.0970296878932</v>
      </c>
      <c r="P107" s="3690">
        <f t="shared" si="24"/>
        <v>4431.9230064455205</v>
      </c>
      <c r="Q107" s="3690">
        <f t="shared" si="24"/>
        <v>4152.1464865156304</v>
      </c>
      <c r="R107" s="3664">
        <f t="shared" si="25"/>
        <v>5067.6826704140631</v>
      </c>
      <c r="T107" s="4387">
        <f t="shared" si="19"/>
        <v>4229.483768085689</v>
      </c>
      <c r="U107" s="4392">
        <f>AVERAGE(B107:D107,G107:Q107)</f>
        <v>5544.0900193982916</v>
      </c>
      <c r="V107" s="4403">
        <f>(U107-U99)/U99</f>
        <v>-5.522887529619025E-2</v>
      </c>
      <c r="W107" s="4403">
        <f>(T107-T99)/T99</f>
        <v>-0.14060772084444717</v>
      </c>
    </row>
    <row r="108" spans="1:27" ht="21">
      <c r="A108" s="3662" t="s">
        <v>418</v>
      </c>
      <c r="B108" s="3666">
        <f>B107/B105-1</f>
        <v>5.0794981568743847E-2</v>
      </c>
      <c r="C108" s="3666">
        <f t="shared" ref="C108:Q108" si="26">C107/C105-1</f>
        <v>-6.315888614919718E-3</v>
      </c>
      <c r="D108" s="3666">
        <f t="shared" si="26"/>
        <v>-5.0591223305332944E-3</v>
      </c>
      <c r="E108" s="3666">
        <f t="shared" si="26"/>
        <v>4.6211597812647831E-2</v>
      </c>
      <c r="F108" s="3666">
        <f t="shared" si="26"/>
        <v>7.4546202430698427E-2</v>
      </c>
      <c r="G108" s="3666">
        <f t="shared" si="26"/>
        <v>2.5111346618201358E-2</v>
      </c>
      <c r="H108" s="3666">
        <f t="shared" si="26"/>
        <v>7.8977614468836332E-2</v>
      </c>
      <c r="I108" s="3666">
        <f t="shared" si="26"/>
        <v>6.2556083405946206E-2</v>
      </c>
      <c r="J108" s="3666">
        <f t="shared" si="26"/>
        <v>2.7333870054428333E-2</v>
      </c>
      <c r="K108" s="3666">
        <f t="shared" si="26"/>
        <v>2.2887858356594126E-2</v>
      </c>
      <c r="L108" s="3666">
        <f t="shared" si="26"/>
        <v>6.1327742910457506E-3</v>
      </c>
      <c r="M108" s="3666">
        <f t="shared" si="26"/>
        <v>6.5006605600057332E-2</v>
      </c>
      <c r="N108" s="3666">
        <f t="shared" si="26"/>
        <v>4.5022585585394737E-2</v>
      </c>
      <c r="O108" s="3666">
        <f t="shared" si="26"/>
        <v>3.7192195193023192E-2</v>
      </c>
      <c r="P108" s="3666">
        <f t="shared" si="26"/>
        <v>2.9096883783293892E-2</v>
      </c>
      <c r="Q108" s="3666">
        <f t="shared" si="26"/>
        <v>1.1822617187523532E-2</v>
      </c>
      <c r="R108" s="3667">
        <f>R107/R105-1</f>
        <v>3.7080219850023965E-2</v>
      </c>
      <c r="S108" s="3659"/>
      <c r="T108" s="3659"/>
      <c r="U108" s="3659"/>
      <c r="V108" s="3659"/>
      <c r="W108" s="3652"/>
      <c r="X108" s="3659"/>
      <c r="Y108" s="3659"/>
      <c r="Z108" s="3659"/>
      <c r="AA108" s="3659"/>
    </row>
    <row r="109" spans="1:27" ht="21">
      <c r="A109" s="3662" t="s">
        <v>419</v>
      </c>
      <c r="B109" s="3666">
        <f>B107/B103-1</f>
        <v>7.5933351424318341E-2</v>
      </c>
      <c r="C109" s="3666">
        <f t="shared" ref="C109:R109" si="27">C107/C103-1</f>
        <v>-5.7592989871448896E-2</v>
      </c>
      <c r="D109" s="3666">
        <f t="shared" si="27"/>
        <v>-5.9103155789125394E-2</v>
      </c>
      <c r="E109" s="3666">
        <f t="shared" si="27"/>
        <v>4.935781082137547E-2</v>
      </c>
      <c r="F109" s="3666">
        <f>F107/F103-1</f>
        <v>0.13917327577940752</v>
      </c>
      <c r="G109" s="3666">
        <f t="shared" si="27"/>
        <v>-3.0811567719297939E-2</v>
      </c>
      <c r="H109" s="3666">
        <f t="shared" si="27"/>
        <v>0.13840825416249491</v>
      </c>
      <c r="I109" s="3666">
        <f t="shared" si="27"/>
        <v>0.1661504219014216</v>
      </c>
      <c r="J109" s="3666">
        <f t="shared" si="27"/>
        <v>-1.3526950274438621E-2</v>
      </c>
      <c r="K109" s="3666">
        <f t="shared" si="27"/>
        <v>2.2134865735497611E-2</v>
      </c>
      <c r="L109" s="3666">
        <f t="shared" si="27"/>
        <v>-3.7964828490273717E-2</v>
      </c>
      <c r="M109" s="3666">
        <f t="shared" si="27"/>
        <v>0.19603433673769222</v>
      </c>
      <c r="N109" s="3666">
        <f t="shared" si="27"/>
        <v>-2.2080806208528148E-2</v>
      </c>
      <c r="O109" s="3666">
        <f t="shared" si="27"/>
        <v>4.0842188180645556E-2</v>
      </c>
      <c r="P109" s="3666">
        <f t="shared" si="27"/>
        <v>9.3887984822040638E-2</v>
      </c>
      <c r="Q109" s="3666">
        <f t="shared" si="27"/>
        <v>3.1786590251440261E-2</v>
      </c>
      <c r="R109" s="3667">
        <f t="shared" si="27"/>
        <v>2.8483633873305214E-2</v>
      </c>
      <c r="S109" s="3659"/>
      <c r="T109" s="3659"/>
      <c r="U109" s="3659"/>
      <c r="V109" s="3659"/>
      <c r="W109" s="3652"/>
      <c r="X109" s="3659"/>
      <c r="Y109" s="3659"/>
      <c r="Z109" s="3659"/>
      <c r="AA109" s="3659"/>
    </row>
    <row r="110" spans="1:27" ht="21.6" thickBot="1">
      <c r="A110" s="3668" t="s">
        <v>420</v>
      </c>
      <c r="B110" s="3669">
        <f>B107/B99-1</f>
        <v>0.14095220017695542</v>
      </c>
      <c r="C110" s="3669">
        <f t="shared" ref="C110:R110" si="28">C107/C99-1</f>
        <v>-0.10842538056045015</v>
      </c>
      <c r="D110" s="3669">
        <f t="shared" si="28"/>
        <v>-0.13169650721750092</v>
      </c>
      <c r="E110" s="3669">
        <f t="shared" si="28"/>
        <v>-0.13613046662422057</v>
      </c>
      <c r="F110" s="3669">
        <f t="shared" si="28"/>
        <v>-0.14932782704851055</v>
      </c>
      <c r="G110" s="3669">
        <f t="shared" si="28"/>
        <v>-7.5877923936479297E-2</v>
      </c>
      <c r="H110" s="3669">
        <f t="shared" si="28"/>
        <v>-0.15174753871387814</v>
      </c>
      <c r="I110" s="3669">
        <f t="shared" si="28"/>
        <v>9.9121046142791824E-2</v>
      </c>
      <c r="J110" s="3669">
        <f t="shared" si="28"/>
        <v>-0.23613435397192739</v>
      </c>
      <c r="K110" s="3669">
        <f t="shared" si="28"/>
        <v>-0.14090092334871795</v>
      </c>
      <c r="L110" s="3669">
        <f t="shared" si="28"/>
        <v>-9.4288837630061462E-2</v>
      </c>
      <c r="M110" s="3669">
        <f t="shared" si="28"/>
        <v>-6.1818054392150934E-3</v>
      </c>
      <c r="N110" s="3669">
        <f t="shared" si="28"/>
        <v>-1.2222970244166742E-3</v>
      </c>
      <c r="O110" s="3669">
        <f t="shared" si="28"/>
        <v>2.5695922085893219E-2</v>
      </c>
      <c r="P110" s="3669">
        <f t="shared" si="28"/>
        <v>0.10001175106170757</v>
      </c>
      <c r="Q110" s="3669">
        <f t="shared" si="28"/>
        <v>-5.3615491437446927E-2</v>
      </c>
      <c r="R110" s="3670">
        <f t="shared" si="28"/>
        <v>-0.12849606833673866</v>
      </c>
      <c r="S110" s="3659"/>
      <c r="T110" s="3659"/>
      <c r="U110" s="3659"/>
      <c r="V110" s="3659"/>
      <c r="W110" s="3652"/>
      <c r="X110" s="3659"/>
      <c r="Y110" s="3659"/>
      <c r="Z110" s="3659"/>
      <c r="AA110" s="3659"/>
    </row>
    <row r="111" spans="1:27">
      <c r="A111" s="4506" t="s">
        <v>442</v>
      </c>
      <c r="B111" s="4507"/>
      <c r="C111" s="4507"/>
      <c r="D111" s="4507"/>
      <c r="E111" s="4507"/>
      <c r="F111" s="4507"/>
      <c r="G111" s="4507"/>
      <c r="H111" s="4507"/>
      <c r="I111" s="4507"/>
      <c r="J111" s="4507"/>
      <c r="K111" s="4507"/>
      <c r="L111" s="4507"/>
      <c r="M111" s="4507"/>
      <c r="N111" s="4507"/>
      <c r="O111" s="4507"/>
      <c r="P111" s="4507"/>
      <c r="Q111" s="4507"/>
      <c r="R111" s="4507"/>
    </row>
    <row r="112" spans="1:27">
      <c r="A112" s="3691" t="s">
        <v>441</v>
      </c>
    </row>
    <row r="113" spans="1:62">
      <c r="B113" s="4395"/>
      <c r="C113" s="4395"/>
      <c r="D113" s="4395"/>
      <c r="E113" s="4395"/>
      <c r="F113" s="4395"/>
      <c r="G113" s="4395"/>
      <c r="H113" s="4395"/>
      <c r="I113" s="4395"/>
      <c r="J113" s="4395"/>
      <c r="K113" s="4395"/>
      <c r="L113" s="4395"/>
      <c r="M113" s="4395"/>
      <c r="N113" s="4395"/>
      <c r="O113" s="4395"/>
      <c r="P113" s="4395"/>
      <c r="Q113" s="4395"/>
      <c r="R113" s="4395"/>
    </row>
    <row r="114" spans="1:62" ht="18" hidden="1">
      <c r="B114" s="4497" t="s">
        <v>423</v>
      </c>
      <c r="C114" s="4498"/>
      <c r="D114" s="4498"/>
      <c r="E114" s="4498"/>
      <c r="F114" s="4498"/>
      <c r="G114" s="4498"/>
      <c r="H114" s="4498"/>
      <c r="I114" s="4498"/>
      <c r="J114" s="4498"/>
      <c r="K114" s="4498"/>
      <c r="L114" s="4499"/>
    </row>
    <row r="115" spans="1:62" ht="18" hidden="1">
      <c r="B115" s="3692" t="s">
        <v>424</v>
      </c>
      <c r="C115" s="3693">
        <v>1001937</v>
      </c>
      <c r="D115" s="3694"/>
      <c r="E115" s="3695" t="s">
        <v>425</v>
      </c>
      <c r="F115" s="3695"/>
      <c r="G115" s="3696" t="s">
        <v>426</v>
      </c>
      <c r="H115" s="3694"/>
      <c r="I115" s="3694"/>
      <c r="J115" s="3697"/>
      <c r="K115" s="3697" t="s">
        <v>427</v>
      </c>
      <c r="L115" s="3698">
        <f>F115/C115</f>
        <v>0</v>
      </c>
    </row>
    <row r="116" spans="1:62" ht="18" hidden="1">
      <c r="B116" s="3699" t="s">
        <v>428</v>
      </c>
      <c r="C116" s="3700">
        <v>1046227</v>
      </c>
      <c r="D116" s="3697"/>
      <c r="E116" s="3695" t="s">
        <v>429</v>
      </c>
      <c r="F116" s="3697">
        <v>6001588129.5500002</v>
      </c>
      <c r="G116" s="3697" t="s">
        <v>426</v>
      </c>
      <c r="H116" s="3697"/>
      <c r="I116" s="3697"/>
      <c r="J116" s="3697"/>
      <c r="K116" s="3697" t="s">
        <v>430</v>
      </c>
      <c r="L116" s="3698">
        <f t="shared" ref="L116:L118" si="29">F116/C116</f>
        <v>5736.4110556791211</v>
      </c>
    </row>
    <row r="117" spans="1:62" ht="18" hidden="1">
      <c r="B117" s="3699" t="s">
        <v>431</v>
      </c>
      <c r="C117" s="3700">
        <v>1046828</v>
      </c>
      <c r="D117" s="3697"/>
      <c r="E117" s="3695" t="s">
        <v>432</v>
      </c>
      <c r="F117" s="3697">
        <v>6475780993.3799963</v>
      </c>
      <c r="G117" s="3697" t="s">
        <v>426</v>
      </c>
      <c r="H117" s="3697"/>
      <c r="I117" s="3697"/>
      <c r="J117" s="3697"/>
      <c r="K117" s="3697" t="s">
        <v>433</v>
      </c>
      <c r="L117" s="3698">
        <f t="shared" si="29"/>
        <v>6186.0983785110793</v>
      </c>
    </row>
    <row r="118" spans="1:62" ht="18" hidden="1">
      <c r="B118" s="3699" t="s">
        <v>434</v>
      </c>
      <c r="C118" s="3700">
        <v>1047890</v>
      </c>
      <c r="D118" s="3697"/>
      <c r="E118" s="3695" t="s">
        <v>435</v>
      </c>
      <c r="F118" s="3697">
        <v>6255506948.0799999</v>
      </c>
      <c r="G118" s="3697" t="s">
        <v>436</v>
      </c>
      <c r="H118" s="3697"/>
      <c r="I118" s="3697"/>
      <c r="J118" s="3697"/>
      <c r="K118" s="3697" t="s">
        <v>437</v>
      </c>
      <c r="L118" s="3698">
        <f t="shared" si="29"/>
        <v>5969.6217619024901</v>
      </c>
    </row>
    <row r="119" spans="1:62" ht="18" hidden="1">
      <c r="B119" s="3701" t="s">
        <v>418</v>
      </c>
      <c r="C119" s="3702">
        <f>(C118-C117)/C117</f>
        <v>1.0144933074010248E-3</v>
      </c>
      <c r="D119" s="3697"/>
      <c r="E119" s="3703" t="s">
        <v>418</v>
      </c>
      <c r="F119" s="3702">
        <f>(F118-F117)/F117</f>
        <v>-3.4015054790329714E-2</v>
      </c>
      <c r="G119" s="3697"/>
      <c r="H119" s="3697"/>
      <c r="I119" s="3697"/>
      <c r="J119" s="3697"/>
      <c r="K119" s="3703" t="s">
        <v>418</v>
      </c>
      <c r="L119" s="3704">
        <f>(L118-L117)/L117</f>
        <v>-3.499404687138076E-2</v>
      </c>
    </row>
    <row r="120" spans="1:62" ht="18" hidden="1">
      <c r="B120" s="3701" t="s">
        <v>419</v>
      </c>
      <c r="C120" s="3702">
        <f>(C118-C116)/C116</f>
        <v>1.5895212033335022E-3</v>
      </c>
      <c r="D120" s="3697"/>
      <c r="E120" s="3703" t="s">
        <v>419</v>
      </c>
      <c r="F120" s="3702">
        <f>(F118-F116)/F116</f>
        <v>4.2308604497496329E-2</v>
      </c>
      <c r="G120" s="3697"/>
      <c r="H120" s="3697"/>
      <c r="I120" s="3697"/>
      <c r="J120" s="3697"/>
      <c r="K120" s="3703" t="s">
        <v>419</v>
      </c>
      <c r="L120" s="3704">
        <f>(L118-L116)/L116</f>
        <v>4.0654462164542306E-2</v>
      </c>
    </row>
    <row r="121" spans="1:62" ht="18.600000000000001" hidden="1" thickBot="1">
      <c r="B121" s="3705" t="s">
        <v>420</v>
      </c>
      <c r="C121" s="3706">
        <f>(C118-C115)/C115</f>
        <v>4.5864161119910735E-2</v>
      </c>
      <c r="D121" s="3707"/>
      <c r="E121" s="3708" t="s">
        <v>420</v>
      </c>
      <c r="F121" s="3706" t="e">
        <f>(F118-F115)/F115</f>
        <v>#DIV/0!</v>
      </c>
      <c r="G121" s="3707"/>
      <c r="H121" s="3707"/>
      <c r="I121" s="3707"/>
      <c r="J121" s="3707"/>
      <c r="K121" s="3708" t="s">
        <v>420</v>
      </c>
      <c r="L121" s="3709" t="e">
        <f>(L118-L115)/L115</f>
        <v>#DIV/0!</v>
      </c>
    </row>
    <row r="123" spans="1:62" s="3671" customFormat="1" hidden="1">
      <c r="A123" s="3657"/>
      <c r="C123" s="3710"/>
      <c r="F123" s="3711"/>
      <c r="R123" s="3656"/>
      <c r="S123" s="3647"/>
      <c r="T123" s="3647"/>
      <c r="U123" s="3647"/>
      <c r="V123" s="3647"/>
      <c r="W123" s="3647"/>
      <c r="X123" s="3647"/>
      <c r="Y123" s="3647"/>
      <c r="Z123" s="3647"/>
      <c r="AA123" s="3647"/>
      <c r="AB123" s="3647"/>
      <c r="AC123" s="3647"/>
      <c r="AD123" s="3647"/>
      <c r="AE123" s="3647"/>
      <c r="AF123" s="3647"/>
      <c r="AG123" s="3647"/>
      <c r="AH123" s="3647"/>
      <c r="AI123" s="3647"/>
      <c r="AJ123" s="3647"/>
      <c r="AK123" s="3647"/>
      <c r="AL123" s="3647"/>
      <c r="AM123" s="3647"/>
      <c r="AN123" s="3647"/>
      <c r="AO123" s="3647"/>
      <c r="AP123" s="3647"/>
      <c r="AQ123" s="3647"/>
      <c r="AR123" s="3647"/>
      <c r="AS123" s="3647"/>
      <c r="AT123" s="3647"/>
      <c r="AU123" s="3647"/>
      <c r="AV123" s="3647"/>
      <c r="AW123" s="3647"/>
      <c r="AX123" s="3647"/>
      <c r="AY123" s="3647"/>
      <c r="AZ123" s="3647"/>
      <c r="BA123" s="3647"/>
      <c r="BB123" s="3647"/>
      <c r="BC123" s="3647"/>
      <c r="BD123" s="3647"/>
      <c r="BE123" s="3647"/>
      <c r="BF123" s="3647"/>
      <c r="BG123" s="3647"/>
      <c r="BH123" s="3647"/>
      <c r="BI123" s="3647"/>
      <c r="BJ123" s="3647"/>
    </row>
    <row r="124" spans="1:62" s="3671" customFormat="1" hidden="1">
      <c r="A124" s="3657"/>
      <c r="R124" s="3656"/>
      <c r="S124" s="3647"/>
      <c r="T124" s="3647"/>
      <c r="U124" s="3647"/>
      <c r="V124" s="3647"/>
      <c r="W124" s="3647"/>
      <c r="X124" s="3647"/>
      <c r="Y124" s="3647"/>
      <c r="Z124" s="3647"/>
      <c r="AA124" s="3647"/>
      <c r="AB124" s="3647"/>
      <c r="AC124" s="3647"/>
      <c r="AD124" s="3647"/>
      <c r="AE124" s="3647"/>
      <c r="AF124" s="3647"/>
      <c r="AG124" s="3647"/>
      <c r="AH124" s="3647"/>
      <c r="AI124" s="3647"/>
      <c r="AJ124" s="3647"/>
      <c r="AK124" s="3647"/>
      <c r="AL124" s="3647"/>
      <c r="AM124" s="3647"/>
      <c r="AN124" s="3647"/>
      <c r="AO124" s="3647"/>
      <c r="AP124" s="3647"/>
      <c r="AQ124" s="3647"/>
      <c r="AR124" s="3647"/>
      <c r="AS124" s="3647"/>
      <c r="AT124" s="3647"/>
      <c r="AU124" s="3647"/>
      <c r="AV124" s="3647"/>
      <c r="AW124" s="3647"/>
      <c r="AX124" s="3647"/>
      <c r="AY124" s="3647"/>
      <c r="AZ124" s="3647"/>
      <c r="BA124" s="3647"/>
      <c r="BB124" s="3647"/>
      <c r="BC124" s="3647"/>
      <c r="BD124" s="3647"/>
      <c r="BE124" s="3647"/>
      <c r="BF124" s="3647"/>
      <c r="BG124" s="3647"/>
      <c r="BH124" s="3647"/>
      <c r="BI124" s="3647"/>
      <c r="BJ124" s="3647"/>
    </row>
    <row r="125" spans="1:62" s="3671" customFormat="1" hidden="1">
      <c r="A125" s="3657"/>
      <c r="C125" s="3711"/>
      <c r="R125" s="3656"/>
      <c r="S125" s="3647"/>
      <c r="T125" s="3647"/>
      <c r="U125" s="3647"/>
      <c r="V125" s="3647"/>
      <c r="W125" s="3647"/>
      <c r="X125" s="3647"/>
      <c r="Y125" s="3647"/>
      <c r="Z125" s="3647"/>
      <c r="AA125" s="3647"/>
      <c r="AB125" s="3647"/>
      <c r="AC125" s="3647"/>
      <c r="AD125" s="3647"/>
      <c r="AE125" s="3647"/>
      <c r="AF125" s="3647"/>
      <c r="AG125" s="3647"/>
      <c r="AH125" s="3647"/>
      <c r="AI125" s="3647"/>
      <c r="AJ125" s="3647"/>
      <c r="AK125" s="3647"/>
      <c r="AL125" s="3647"/>
      <c r="AM125" s="3647"/>
      <c r="AN125" s="3647"/>
      <c r="AO125" s="3647"/>
      <c r="AP125" s="3647"/>
      <c r="AQ125" s="3647"/>
      <c r="AR125" s="3647"/>
      <c r="AS125" s="3647"/>
      <c r="AT125" s="3647"/>
      <c r="AU125" s="3647"/>
      <c r="AV125" s="3647"/>
      <c r="AW125" s="3647"/>
      <c r="AX125" s="3647"/>
      <c r="AY125" s="3647"/>
      <c r="AZ125" s="3647"/>
      <c r="BA125" s="3647"/>
      <c r="BB125" s="3647"/>
      <c r="BC125" s="3647"/>
      <c r="BD125" s="3647"/>
      <c r="BE125" s="3647"/>
      <c r="BF125" s="3647"/>
      <c r="BG125" s="3647"/>
      <c r="BH125" s="3647"/>
      <c r="BI125" s="3647"/>
      <c r="BJ125" s="3647"/>
    </row>
    <row r="126" spans="1:62" s="3671" customFormat="1" hidden="1">
      <c r="A126" s="3657"/>
      <c r="R126" s="3656"/>
      <c r="S126" s="3647"/>
      <c r="T126" s="3647"/>
      <c r="U126" s="3647"/>
      <c r="V126" s="3647"/>
      <c r="W126" s="3647"/>
      <c r="X126" s="3647"/>
      <c r="Y126" s="3647"/>
      <c r="Z126" s="3647"/>
      <c r="AA126" s="3647"/>
      <c r="AB126" s="3647"/>
      <c r="AC126" s="3647"/>
      <c r="AD126" s="3647"/>
      <c r="AE126" s="3647"/>
      <c r="AF126" s="3647"/>
      <c r="AG126" s="3647"/>
      <c r="AH126" s="3647"/>
      <c r="AI126" s="3647"/>
      <c r="AJ126" s="3647"/>
      <c r="AK126" s="3647"/>
      <c r="AL126" s="3647"/>
      <c r="AM126" s="3647"/>
      <c r="AN126" s="3647"/>
      <c r="AO126" s="3647"/>
      <c r="AP126" s="3647"/>
      <c r="AQ126" s="3647"/>
      <c r="AR126" s="3647"/>
      <c r="AS126" s="3647"/>
      <c r="AT126" s="3647"/>
      <c r="AU126" s="3647"/>
      <c r="AV126" s="3647"/>
      <c r="AW126" s="3647"/>
      <c r="AX126" s="3647"/>
      <c r="AY126" s="3647"/>
      <c r="AZ126" s="3647"/>
      <c r="BA126" s="3647"/>
      <c r="BB126" s="3647"/>
      <c r="BC126" s="3647"/>
      <c r="BD126" s="3647"/>
      <c r="BE126" s="3647"/>
      <c r="BF126" s="3647"/>
      <c r="BG126" s="3647"/>
      <c r="BH126" s="3647"/>
      <c r="BI126" s="3647"/>
      <c r="BJ126" s="3647"/>
    </row>
    <row r="127" spans="1:62" s="3671" customFormat="1" hidden="1">
      <c r="A127" s="3657"/>
      <c r="R127" s="3656"/>
      <c r="S127" s="3647"/>
      <c r="T127" s="3647"/>
      <c r="U127" s="3647"/>
      <c r="V127" s="3647"/>
      <c r="W127" s="3647"/>
      <c r="X127" s="3647"/>
      <c r="Y127" s="3647"/>
      <c r="Z127" s="3647"/>
      <c r="AA127" s="3647"/>
      <c r="AB127" s="3647"/>
      <c r="AC127" s="3647"/>
      <c r="AD127" s="3647"/>
      <c r="AE127" s="3647"/>
      <c r="AF127" s="3647"/>
      <c r="AG127" s="3647"/>
      <c r="AH127" s="3647"/>
      <c r="AI127" s="3647"/>
      <c r="AJ127" s="3647"/>
      <c r="AK127" s="3647"/>
      <c r="AL127" s="3647"/>
      <c r="AM127" s="3647"/>
      <c r="AN127" s="3647"/>
      <c r="AO127" s="3647"/>
      <c r="AP127" s="3647"/>
      <c r="AQ127" s="3647"/>
      <c r="AR127" s="3647"/>
      <c r="AS127" s="3647"/>
      <c r="AT127" s="3647"/>
      <c r="AU127" s="3647"/>
      <c r="AV127" s="3647"/>
      <c r="AW127" s="3647"/>
      <c r="AX127" s="3647"/>
      <c r="AY127" s="3647"/>
      <c r="AZ127" s="3647"/>
      <c r="BA127" s="3647"/>
      <c r="BB127" s="3647"/>
      <c r="BC127" s="3647"/>
      <c r="BD127" s="3647"/>
      <c r="BE127" s="3647"/>
      <c r="BF127" s="3647"/>
      <c r="BG127" s="3647"/>
      <c r="BH127" s="3647"/>
      <c r="BI127" s="3647"/>
      <c r="BJ127" s="3647"/>
    </row>
    <row r="128" spans="1:62" s="3671" customFormat="1" hidden="1">
      <c r="A128" s="3657"/>
      <c r="R128" s="3656"/>
      <c r="S128" s="3647"/>
      <c r="T128" s="3647"/>
      <c r="U128" s="3647"/>
      <c r="V128" s="3647"/>
      <c r="W128" s="3647"/>
      <c r="X128" s="3647"/>
      <c r="Y128" s="3647"/>
      <c r="Z128" s="3647"/>
      <c r="AA128" s="3647"/>
      <c r="AB128" s="3647"/>
      <c r="AC128" s="3647"/>
      <c r="AD128" s="3647"/>
      <c r="AE128" s="3647"/>
      <c r="AF128" s="3647"/>
      <c r="AG128" s="3647"/>
      <c r="AH128" s="3647"/>
      <c r="AI128" s="3647"/>
      <c r="AJ128" s="3647"/>
      <c r="AK128" s="3647"/>
      <c r="AL128" s="3647"/>
      <c r="AM128" s="3647"/>
      <c r="AN128" s="3647"/>
      <c r="AO128" s="3647"/>
      <c r="AP128" s="3647"/>
      <c r="AQ128" s="3647"/>
      <c r="AR128" s="3647"/>
      <c r="AS128" s="3647"/>
      <c r="AT128" s="3647"/>
      <c r="AU128" s="3647"/>
      <c r="AV128" s="3647"/>
      <c r="AW128" s="3647"/>
      <c r="AX128" s="3647"/>
      <c r="AY128" s="3647"/>
      <c r="AZ128" s="3647"/>
      <c r="BA128" s="3647"/>
      <c r="BB128" s="3647"/>
      <c r="BC128" s="3647"/>
      <c r="BD128" s="3647"/>
      <c r="BE128" s="3647"/>
      <c r="BF128" s="3647"/>
      <c r="BG128" s="3647"/>
      <c r="BH128" s="3647"/>
      <c r="BI128" s="3647"/>
      <c r="BJ128" s="3647"/>
    </row>
    <row r="129" spans="1:62" s="3671" customFormat="1" hidden="1">
      <c r="A129" s="3657"/>
      <c r="R129" s="3656"/>
      <c r="S129" s="3647"/>
      <c r="T129" s="3647"/>
      <c r="U129" s="3647"/>
      <c r="V129" s="3647"/>
      <c r="W129" s="3647"/>
      <c r="X129" s="3647"/>
      <c r="Y129" s="3647"/>
      <c r="Z129" s="3647"/>
      <c r="AA129" s="3647"/>
      <c r="AB129" s="3647"/>
      <c r="AC129" s="3647"/>
      <c r="AD129" s="3647"/>
      <c r="AE129" s="3647"/>
      <c r="AF129" s="3647"/>
      <c r="AG129" s="3647"/>
      <c r="AH129" s="3647"/>
      <c r="AI129" s="3647"/>
      <c r="AJ129" s="3647"/>
      <c r="AK129" s="3647"/>
      <c r="AL129" s="3647"/>
      <c r="AM129" s="3647"/>
      <c r="AN129" s="3647"/>
      <c r="AO129" s="3647"/>
      <c r="AP129" s="3647"/>
      <c r="AQ129" s="3647"/>
      <c r="AR129" s="3647"/>
      <c r="AS129" s="3647"/>
      <c r="AT129" s="3647"/>
      <c r="AU129" s="3647"/>
      <c r="AV129" s="3647"/>
      <c r="AW129" s="3647"/>
      <c r="AX129" s="3647"/>
      <c r="AY129" s="3647"/>
      <c r="AZ129" s="3647"/>
      <c r="BA129" s="3647"/>
      <c r="BB129" s="3647"/>
      <c r="BC129" s="3647"/>
      <c r="BD129" s="3647"/>
      <c r="BE129" s="3647"/>
      <c r="BF129" s="3647"/>
      <c r="BG129" s="3647"/>
      <c r="BH129" s="3647"/>
      <c r="BI129" s="3647"/>
      <c r="BJ129" s="3647"/>
    </row>
    <row r="130" spans="1:62" s="3671" customFormat="1" hidden="1">
      <c r="A130" s="3712">
        <v>183.96</v>
      </c>
      <c r="B130" s="3712">
        <v>188.9</v>
      </c>
      <c r="C130" s="3712">
        <v>195.3</v>
      </c>
      <c r="D130" s="3712">
        <v>201.6</v>
      </c>
      <c r="E130" s="3712">
        <v>207.34200000000001</v>
      </c>
      <c r="F130" s="3712">
        <v>215.303</v>
      </c>
      <c r="G130" s="3712">
        <v>214.53700000000001</v>
      </c>
      <c r="H130" s="3712">
        <v>218.05600000000001</v>
      </c>
      <c r="I130" s="3712">
        <v>224.93899999999999</v>
      </c>
      <c r="R130" s="3656"/>
      <c r="S130" s="3647"/>
      <c r="T130" s="3647"/>
      <c r="U130" s="3647"/>
      <c r="V130" s="3647"/>
      <c r="W130" s="3647"/>
      <c r="X130" s="3647"/>
      <c r="Y130" s="3647"/>
      <c r="Z130" s="3647"/>
      <c r="AA130" s="3647"/>
      <c r="AB130" s="3647"/>
      <c r="AC130" s="3647"/>
      <c r="AD130" s="3647"/>
      <c r="AE130" s="3647"/>
      <c r="AF130" s="3647"/>
      <c r="AG130" s="3647"/>
      <c r="AH130" s="3647"/>
      <c r="AI130" s="3647"/>
      <c r="AJ130" s="3647"/>
      <c r="AK130" s="3647"/>
      <c r="AL130" s="3647"/>
      <c r="AM130" s="3647"/>
      <c r="AN130" s="3647"/>
      <c r="AO130" s="3647"/>
      <c r="AP130" s="3647"/>
      <c r="AQ130" s="3647"/>
      <c r="AR130" s="3647"/>
      <c r="AS130" s="3647"/>
      <c r="AT130" s="3647"/>
      <c r="AU130" s="3647"/>
      <c r="AV130" s="3647"/>
      <c r="AW130" s="3647"/>
      <c r="AX130" s="3647"/>
      <c r="AY130" s="3647"/>
      <c r="AZ130" s="3647"/>
      <c r="BA130" s="3647"/>
      <c r="BB130" s="3647"/>
      <c r="BC130" s="3647"/>
      <c r="BD130" s="3647"/>
      <c r="BE130" s="3647"/>
      <c r="BF130" s="3647"/>
      <c r="BG130" s="3647"/>
      <c r="BH130" s="3647"/>
      <c r="BI130" s="3647"/>
      <c r="BJ130" s="3647"/>
    </row>
    <row r="131" spans="1:62" s="3671" customFormat="1" hidden="1">
      <c r="A131" s="3657"/>
      <c r="R131" s="3656"/>
      <c r="S131" s="3647"/>
      <c r="T131" s="3647"/>
      <c r="U131" s="3647"/>
      <c r="V131" s="3647"/>
      <c r="W131" s="3647"/>
      <c r="X131" s="3647"/>
      <c r="Y131" s="3647"/>
      <c r="Z131" s="3647"/>
      <c r="AA131" s="3647"/>
      <c r="AB131" s="3647"/>
      <c r="AC131" s="3647"/>
      <c r="AD131" s="3647"/>
      <c r="AE131" s="3647"/>
      <c r="AF131" s="3647"/>
      <c r="AG131" s="3647"/>
      <c r="AH131" s="3647"/>
      <c r="AI131" s="3647"/>
      <c r="AJ131" s="3647"/>
      <c r="AK131" s="3647"/>
      <c r="AL131" s="3647"/>
      <c r="AM131" s="3647"/>
      <c r="AN131" s="3647"/>
      <c r="AO131" s="3647"/>
      <c r="AP131" s="3647"/>
      <c r="AQ131" s="3647"/>
      <c r="AR131" s="3647"/>
      <c r="AS131" s="3647"/>
      <c r="AT131" s="3647"/>
      <c r="AU131" s="3647"/>
      <c r="AV131" s="3647"/>
      <c r="AW131" s="3647"/>
      <c r="AX131" s="3647"/>
      <c r="AY131" s="3647"/>
      <c r="AZ131" s="3647"/>
      <c r="BA131" s="3647"/>
      <c r="BB131" s="3647"/>
      <c r="BC131" s="3647"/>
      <c r="BD131" s="3647"/>
      <c r="BE131" s="3647"/>
      <c r="BF131" s="3647"/>
      <c r="BG131" s="3647"/>
      <c r="BH131" s="3647"/>
      <c r="BI131" s="3647"/>
      <c r="BJ131" s="3647"/>
    </row>
  </sheetData>
  <mergeCells count="7">
    <mergeCell ref="B114:L114"/>
    <mergeCell ref="A1:R1"/>
    <mergeCell ref="A2:R2"/>
    <mergeCell ref="A4:R4"/>
    <mergeCell ref="A66:R66"/>
    <mergeCell ref="A89:R89"/>
    <mergeCell ref="A111:R111"/>
  </mergeCells>
  <printOptions horizontalCentered="1" verticalCentered="1"/>
  <pageMargins left="0.27" right="0.21" top="0.31" bottom="0.16" header="0.3" footer="0.16"/>
  <pageSetup paperSize="5" scale="47" orientation="landscape" r:id="rId1"/>
  <headerFooter>
    <oddFooter>&amp;LHouse Ways and Means Cmte Amendment 1001 2-14-13&amp;R&amp;D</oddFooter>
  </headerFooter>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J131"/>
  <sheetViews>
    <sheetView zoomScale="70" zoomScaleNormal="70" workbookViewId="0">
      <selection activeCell="A2" sqref="A2:R2"/>
    </sheetView>
  </sheetViews>
  <sheetFormatPr defaultColWidth="9.109375" defaultRowHeight="14.4"/>
  <cols>
    <col min="1" max="1" width="11" style="3657" bestFit="1" customWidth="1"/>
    <col min="2" max="2" width="21.44140625" style="3671" bestFit="1" customWidth="1"/>
    <col min="3" max="3" width="22.88671875" style="3671" bestFit="1" customWidth="1"/>
    <col min="4" max="5" width="20.88671875" style="3671" bestFit="1" customWidth="1"/>
    <col min="6" max="7" width="22.88671875" style="3671" bestFit="1" customWidth="1"/>
    <col min="8" max="8" width="19.109375" style="3671" bestFit="1" customWidth="1"/>
    <col min="9" max="11" width="20.88671875" style="3671" bestFit="1" customWidth="1"/>
    <col min="12" max="13" width="20.44140625" style="3671" bestFit="1" customWidth="1"/>
    <col min="14" max="14" width="22" style="3671" bestFit="1" customWidth="1"/>
    <col min="15" max="17" width="20.109375" style="3671" bestFit="1" customWidth="1"/>
    <col min="18" max="18" width="23.44140625" style="3656" bestFit="1" customWidth="1"/>
    <col min="19" max="19" width="6.109375" style="3647" bestFit="1" customWidth="1"/>
    <col min="20" max="20" width="7.88671875" style="3647" bestFit="1" customWidth="1"/>
    <col min="21" max="21" width="10.5546875" style="3647" bestFit="1" customWidth="1"/>
    <col min="22" max="22" width="12.88671875" style="3647" customWidth="1"/>
    <col min="23" max="23" width="9.109375" style="3647"/>
    <col min="24" max="26" width="8" style="3647" bestFit="1" customWidth="1"/>
    <col min="27" max="27" width="8.88671875" style="3647" bestFit="1" customWidth="1"/>
    <col min="28" max="16384" width="9.109375" style="3647"/>
  </cols>
  <sheetData>
    <row r="1" spans="1:62" ht="21">
      <c r="A1" s="4500" t="s">
        <v>842</v>
      </c>
      <c r="B1" s="4501"/>
      <c r="C1" s="4501"/>
      <c r="D1" s="4501"/>
      <c r="E1" s="4501"/>
      <c r="F1" s="4501"/>
      <c r="G1" s="4501"/>
      <c r="H1" s="4501"/>
      <c r="I1" s="4501"/>
      <c r="J1" s="4501"/>
      <c r="K1" s="4501"/>
      <c r="L1" s="4501"/>
      <c r="M1" s="4501"/>
      <c r="N1" s="4501"/>
      <c r="O1" s="4501"/>
      <c r="P1" s="4501"/>
      <c r="Q1" s="4501"/>
      <c r="R1" s="4501"/>
    </row>
    <row r="2" spans="1:62" ht="21">
      <c r="A2" s="4502" t="s">
        <v>969</v>
      </c>
      <c r="B2" s="4501"/>
      <c r="C2" s="4501"/>
      <c r="D2" s="4501"/>
      <c r="E2" s="4501"/>
      <c r="F2" s="4501"/>
      <c r="G2" s="4501"/>
      <c r="H2" s="4501"/>
      <c r="I2" s="4501"/>
      <c r="J2" s="4501"/>
      <c r="K2" s="4501"/>
      <c r="L2" s="4501"/>
      <c r="M2" s="4501"/>
      <c r="N2" s="4501"/>
      <c r="O2" s="4501"/>
      <c r="P2" s="4501"/>
      <c r="Q2" s="4501"/>
      <c r="R2" s="4501"/>
    </row>
    <row r="3" spans="1:62" ht="21.6" thickBot="1">
      <c r="A3" s="3648"/>
      <c r="B3" s="3649"/>
      <c r="C3" s="3650"/>
      <c r="D3" s="3650"/>
      <c r="E3" s="3650"/>
      <c r="F3" s="3650"/>
      <c r="G3" s="3650"/>
      <c r="H3" s="3650"/>
      <c r="I3" s="3650"/>
      <c r="J3" s="3650"/>
      <c r="K3" s="3650"/>
      <c r="L3" s="3650"/>
      <c r="M3" s="3650"/>
      <c r="N3" s="3650"/>
      <c r="O3" s="3650"/>
      <c r="P3" s="3650"/>
      <c r="Q3" s="3650"/>
      <c r="R3" s="3651"/>
    </row>
    <row r="4" spans="1:62" ht="22.2" thickTop="1" thickBot="1">
      <c r="A4" s="4503" t="s">
        <v>844</v>
      </c>
      <c r="B4" s="4504"/>
      <c r="C4" s="4504"/>
      <c r="D4" s="4504"/>
      <c r="E4" s="4504"/>
      <c r="F4" s="4504"/>
      <c r="G4" s="4504"/>
      <c r="H4" s="4504"/>
      <c r="I4" s="4504"/>
      <c r="J4" s="4504"/>
      <c r="K4" s="4504"/>
      <c r="L4" s="4504"/>
      <c r="M4" s="4504"/>
      <c r="N4" s="4504"/>
      <c r="O4" s="4504"/>
      <c r="P4" s="4504"/>
      <c r="Q4" s="4504"/>
      <c r="R4" s="4504"/>
      <c r="S4" s="3652"/>
      <c r="T4" s="3652"/>
      <c r="U4" s="3652"/>
      <c r="V4" s="3652"/>
      <c r="W4" s="3652"/>
      <c r="X4" s="3652"/>
      <c r="Y4" s="3652"/>
      <c r="Z4" s="3652"/>
      <c r="AA4" s="3652"/>
    </row>
    <row r="5" spans="1:62" s="3657" customFormat="1" ht="21.6" thickBot="1">
      <c r="A5" s="3653"/>
      <c r="B5" s="3685" t="s">
        <v>277</v>
      </c>
      <c r="C5" s="3685" t="s">
        <v>276</v>
      </c>
      <c r="D5" s="3685" t="s">
        <v>275</v>
      </c>
      <c r="E5" s="3685" t="s">
        <v>278</v>
      </c>
      <c r="F5" s="3685" t="s">
        <v>279</v>
      </c>
      <c r="G5" s="3685" t="s">
        <v>263</v>
      </c>
      <c r="H5" s="3685" t="s">
        <v>265</v>
      </c>
      <c r="I5" s="3685" t="s">
        <v>264</v>
      </c>
      <c r="J5" s="3685" t="s">
        <v>266</v>
      </c>
      <c r="K5" s="3685" t="s">
        <v>267</v>
      </c>
      <c r="L5" s="3685" t="s">
        <v>268</v>
      </c>
      <c r="M5" s="3685" t="s">
        <v>485</v>
      </c>
      <c r="N5" s="3685" t="s">
        <v>270</v>
      </c>
      <c r="O5" s="3685" t="s">
        <v>271</v>
      </c>
      <c r="P5" s="3685" t="s">
        <v>273</v>
      </c>
      <c r="Q5" s="3685" t="s">
        <v>272</v>
      </c>
      <c r="R5" s="3655" t="s">
        <v>417</v>
      </c>
      <c r="S5" s="3656"/>
      <c r="T5" s="3656"/>
      <c r="U5" s="3656"/>
      <c r="V5" s="3656"/>
      <c r="W5" s="3652"/>
      <c r="X5" s="3656"/>
      <c r="Y5" s="3656"/>
      <c r="Z5" s="3656"/>
      <c r="AA5" s="3656"/>
      <c r="AK5" s="3658"/>
      <c r="AL5" s="3658"/>
      <c r="AM5" s="3658"/>
      <c r="AN5" s="3658"/>
      <c r="AO5" s="3658"/>
      <c r="AP5" s="3658"/>
      <c r="AQ5" s="3658"/>
      <c r="AR5" s="3658"/>
      <c r="AS5" s="3658"/>
      <c r="AT5" s="3658"/>
      <c r="AU5" s="3658"/>
      <c r="AV5" s="3658"/>
      <c r="AX5" s="3658"/>
      <c r="AY5" s="3658"/>
      <c r="AZ5" s="3658"/>
      <c r="BA5" s="3658"/>
      <c r="BB5" s="3658"/>
      <c r="BC5" s="3658"/>
      <c r="BD5" s="3658"/>
      <c r="BE5" s="3658"/>
      <c r="BF5" s="3658"/>
      <c r="BG5" s="3658"/>
      <c r="BH5" s="3658"/>
      <c r="BI5" s="3659"/>
      <c r="BJ5" s="3659"/>
    </row>
    <row r="6" spans="1:62" ht="21" hidden="1">
      <c r="A6" s="3660">
        <v>1976</v>
      </c>
      <c r="B6" s="3650">
        <v>2546047</v>
      </c>
      <c r="C6" s="3650">
        <v>29715729</v>
      </c>
      <c r="D6" s="3650">
        <v>23385824</v>
      </c>
      <c r="E6" s="3650"/>
      <c r="F6" s="3650"/>
      <c r="G6" s="3650"/>
      <c r="H6" s="3650"/>
      <c r="I6" s="3650"/>
      <c r="J6" s="3650"/>
      <c r="K6" s="3650"/>
      <c r="L6" s="3650"/>
      <c r="M6" s="3650"/>
      <c r="N6" s="3650"/>
      <c r="O6" s="3650"/>
      <c r="P6" s="3650"/>
      <c r="Q6" s="3650"/>
      <c r="R6" s="3661">
        <v>244342622</v>
      </c>
    </row>
    <row r="7" spans="1:62" ht="21" hidden="1">
      <c r="A7" s="3660">
        <v>1977</v>
      </c>
      <c r="B7" s="3650">
        <v>3276527</v>
      </c>
      <c r="C7" s="3650">
        <v>32258319</v>
      </c>
      <c r="D7" s="3650">
        <v>25289508</v>
      </c>
      <c r="E7" s="3650"/>
      <c r="F7" s="3650"/>
      <c r="G7" s="3650"/>
      <c r="H7" s="3650"/>
      <c r="I7" s="3650"/>
      <c r="J7" s="3650"/>
      <c r="K7" s="3650"/>
      <c r="L7" s="3650"/>
      <c r="M7" s="3650"/>
      <c r="N7" s="3650"/>
      <c r="O7" s="3650"/>
      <c r="P7" s="3650"/>
      <c r="Q7" s="3650"/>
      <c r="R7" s="3661">
        <v>267486295</v>
      </c>
    </row>
    <row r="8" spans="1:62" ht="21" hidden="1">
      <c r="A8" s="3660">
        <v>1978</v>
      </c>
      <c r="B8" s="3650">
        <v>3428910</v>
      </c>
      <c r="C8" s="3650">
        <v>33867609</v>
      </c>
      <c r="D8" s="3650">
        <v>26432681</v>
      </c>
      <c r="E8" s="3650"/>
      <c r="F8" s="3650"/>
      <c r="G8" s="3650"/>
      <c r="H8" s="3650"/>
      <c r="I8" s="3650"/>
      <c r="J8" s="3650"/>
      <c r="K8" s="3650"/>
      <c r="L8" s="3650"/>
      <c r="M8" s="3650"/>
      <c r="N8" s="3650"/>
      <c r="O8" s="3650"/>
      <c r="P8" s="3650"/>
      <c r="Q8" s="3650"/>
      <c r="R8" s="3661">
        <v>280977245</v>
      </c>
    </row>
    <row r="9" spans="1:62" ht="21" hidden="1">
      <c r="A9" s="3660">
        <v>1979</v>
      </c>
      <c r="B9" s="3650">
        <v>3784501</v>
      </c>
      <c r="C9" s="3650">
        <v>36960959</v>
      </c>
      <c r="D9" s="3650">
        <v>28586421</v>
      </c>
      <c r="E9" s="3650"/>
      <c r="F9" s="3650"/>
      <c r="G9" s="3650"/>
      <c r="H9" s="3650"/>
      <c r="I9" s="3650"/>
      <c r="J9" s="3650"/>
      <c r="K9" s="3650"/>
      <c r="L9" s="3650"/>
      <c r="M9" s="3650"/>
      <c r="N9" s="3650"/>
      <c r="O9" s="3650"/>
      <c r="P9" s="3650"/>
      <c r="Q9" s="3650"/>
      <c r="R9" s="3661">
        <v>308344712</v>
      </c>
    </row>
    <row r="10" spans="1:62" ht="21" hidden="1">
      <c r="A10" s="3660">
        <v>1980</v>
      </c>
      <c r="B10" s="3650">
        <v>4295330</v>
      </c>
      <c r="C10" s="3650">
        <v>39918416</v>
      </c>
      <c r="D10" s="3650">
        <v>31398861</v>
      </c>
      <c r="E10" s="3650"/>
      <c r="F10" s="3650"/>
      <c r="G10" s="3650"/>
      <c r="H10" s="3650"/>
      <c r="I10" s="3650"/>
      <c r="J10" s="3650"/>
      <c r="K10" s="3650"/>
      <c r="L10" s="3650"/>
      <c r="M10" s="3650"/>
      <c r="N10" s="3650"/>
      <c r="O10" s="3650"/>
      <c r="P10" s="3650"/>
      <c r="Q10" s="3650"/>
      <c r="R10" s="3661">
        <v>335371860</v>
      </c>
    </row>
    <row r="11" spans="1:62" ht="21" hidden="1">
      <c r="A11" s="3660">
        <v>1981</v>
      </c>
      <c r="B11" s="3650">
        <v>4875700</v>
      </c>
      <c r="C11" s="3650">
        <v>44197113</v>
      </c>
      <c r="D11" s="3650">
        <v>34822155</v>
      </c>
      <c r="E11" s="3650"/>
      <c r="F11" s="3650"/>
      <c r="G11" s="3650"/>
      <c r="H11" s="3650"/>
      <c r="I11" s="3650"/>
      <c r="J11" s="3650"/>
      <c r="K11" s="3650"/>
      <c r="L11" s="3650"/>
      <c r="M11" s="3650"/>
      <c r="N11" s="3650"/>
      <c r="O11" s="3650"/>
      <c r="P11" s="3650"/>
      <c r="Q11" s="3650"/>
      <c r="R11" s="3661">
        <v>376961157</v>
      </c>
    </row>
    <row r="12" spans="1:62" ht="21" hidden="1">
      <c r="A12" s="3660">
        <v>1982</v>
      </c>
      <c r="B12" s="3650">
        <v>5134784</v>
      </c>
      <c r="C12" s="3650">
        <v>45722411</v>
      </c>
      <c r="D12" s="3650">
        <v>35817704</v>
      </c>
      <c r="E12" s="3650"/>
      <c r="F12" s="3650"/>
      <c r="G12" s="3650"/>
      <c r="H12" s="3650"/>
      <c r="I12" s="3650"/>
      <c r="J12" s="3650"/>
      <c r="K12" s="3650"/>
      <c r="L12" s="3650"/>
      <c r="M12" s="3650"/>
      <c r="N12" s="3650"/>
      <c r="O12" s="3650"/>
      <c r="P12" s="3650"/>
      <c r="Q12" s="3650"/>
      <c r="R12" s="3661">
        <v>392655183</v>
      </c>
    </row>
    <row r="13" spans="1:62" ht="21" hidden="1">
      <c r="A13" s="3660">
        <v>1983</v>
      </c>
      <c r="B13" s="3650">
        <v>5138793</v>
      </c>
      <c r="C13" s="3650">
        <v>46716222</v>
      </c>
      <c r="D13" s="3650">
        <v>36045922</v>
      </c>
      <c r="E13" s="3650"/>
      <c r="F13" s="3650"/>
      <c r="G13" s="3650"/>
      <c r="H13" s="3650"/>
      <c r="I13" s="3650"/>
      <c r="J13" s="3650"/>
      <c r="K13" s="3650"/>
      <c r="L13" s="3650"/>
      <c r="M13" s="3650"/>
      <c r="N13" s="3650"/>
      <c r="O13" s="3650"/>
      <c r="P13" s="3650"/>
      <c r="Q13" s="3650"/>
      <c r="R13" s="3661">
        <v>393372638</v>
      </c>
    </row>
    <row r="14" spans="1:62" ht="21" hidden="1">
      <c r="A14" s="3660">
        <v>1984</v>
      </c>
      <c r="B14" s="3650">
        <v>5979556</v>
      </c>
      <c r="C14" s="3650">
        <v>56297146</v>
      </c>
      <c r="D14" s="3650">
        <v>41708399</v>
      </c>
      <c r="E14" s="3650"/>
      <c r="F14" s="3650"/>
      <c r="G14" s="3650"/>
      <c r="H14" s="3650"/>
      <c r="I14" s="3650"/>
      <c r="J14" s="3650"/>
      <c r="K14" s="3650"/>
      <c r="L14" s="3650"/>
      <c r="M14" s="3650"/>
      <c r="N14" s="3650"/>
      <c r="O14" s="3650"/>
      <c r="P14" s="3650"/>
      <c r="Q14" s="3650"/>
      <c r="R14" s="3661">
        <v>459955413</v>
      </c>
    </row>
    <row r="15" spans="1:62" ht="21" hidden="1">
      <c r="A15" s="3660">
        <v>1985</v>
      </c>
      <c r="B15" s="3650">
        <v>6431444</v>
      </c>
      <c r="C15" s="3650">
        <v>61468590</v>
      </c>
      <c r="D15" s="3650">
        <v>44737026</v>
      </c>
      <c r="E15" s="3650"/>
      <c r="F15" s="3650"/>
      <c r="G15" s="3650"/>
      <c r="H15" s="3650"/>
      <c r="I15" s="3650"/>
      <c r="J15" s="3650"/>
      <c r="K15" s="3650"/>
      <c r="L15" s="3650"/>
      <c r="M15" s="3650"/>
      <c r="N15" s="3650"/>
      <c r="O15" s="3650"/>
      <c r="P15" s="3650"/>
      <c r="Q15" s="3650"/>
      <c r="R15" s="3661">
        <v>496962733</v>
      </c>
    </row>
    <row r="16" spans="1:62" ht="21" hidden="1">
      <c r="A16" s="3660">
        <v>1986</v>
      </c>
      <c r="B16" s="3650">
        <v>7361735</v>
      </c>
      <c r="C16" s="3650">
        <v>67799337</v>
      </c>
      <c r="D16" s="3650">
        <v>47728160</v>
      </c>
      <c r="E16" s="3650"/>
      <c r="F16" s="3650"/>
      <c r="G16" s="3650"/>
      <c r="H16" s="3650"/>
      <c r="I16" s="3650"/>
      <c r="J16" s="3650"/>
      <c r="K16" s="3650"/>
      <c r="L16" s="3650"/>
      <c r="M16" s="3650"/>
      <c r="N16" s="3650"/>
      <c r="O16" s="3650"/>
      <c r="P16" s="3650"/>
      <c r="Q16" s="3650"/>
      <c r="R16" s="3661">
        <v>549251165</v>
      </c>
    </row>
    <row r="17" spans="1:26" ht="21" hidden="1">
      <c r="A17" s="3660">
        <v>1987</v>
      </c>
      <c r="B17" s="3650">
        <v>7878379</v>
      </c>
      <c r="C17" s="3650">
        <v>74111848</v>
      </c>
      <c r="D17" s="3650">
        <v>51165383</v>
      </c>
      <c r="E17" s="3650"/>
      <c r="F17" s="3650"/>
      <c r="G17" s="3650"/>
      <c r="H17" s="3650"/>
      <c r="I17" s="3650"/>
      <c r="J17" s="3650"/>
      <c r="K17" s="3650"/>
      <c r="L17" s="3650"/>
      <c r="M17" s="3650"/>
      <c r="N17" s="3650"/>
      <c r="O17" s="3650"/>
      <c r="P17" s="3650"/>
      <c r="Q17" s="3650"/>
      <c r="R17" s="3661">
        <v>596273469</v>
      </c>
    </row>
    <row r="18" spans="1:26" ht="21" hidden="1">
      <c r="A18" s="3660">
        <v>1988</v>
      </c>
      <c r="B18" s="3650">
        <v>8722721</v>
      </c>
      <c r="C18" s="3650">
        <v>77474743</v>
      </c>
      <c r="D18" s="3650">
        <v>53783268</v>
      </c>
      <c r="E18" s="3650"/>
      <c r="F18" s="3650"/>
      <c r="G18" s="3650"/>
      <c r="H18" s="3650"/>
      <c r="I18" s="3650"/>
      <c r="J18" s="3650"/>
      <c r="K18" s="3650"/>
      <c r="L18" s="3650"/>
      <c r="M18" s="3650"/>
      <c r="N18" s="3650"/>
      <c r="O18" s="3650"/>
      <c r="P18" s="3650"/>
      <c r="Q18" s="3650"/>
      <c r="R18" s="3661">
        <v>631033688</v>
      </c>
    </row>
    <row r="19" spans="1:26" ht="21" hidden="1">
      <c r="A19" s="3660">
        <v>1989</v>
      </c>
      <c r="B19" s="3650">
        <v>9297316</v>
      </c>
      <c r="C19" s="3650">
        <v>83033893</v>
      </c>
      <c r="D19" s="3650">
        <v>57210121</v>
      </c>
      <c r="E19" s="3650"/>
      <c r="F19" s="3650"/>
      <c r="G19" s="3650"/>
      <c r="H19" s="3650"/>
      <c r="I19" s="3650"/>
      <c r="J19" s="3650"/>
      <c r="K19" s="3650"/>
      <c r="L19" s="3650"/>
      <c r="M19" s="3650"/>
      <c r="N19" s="3650"/>
      <c r="O19" s="3650"/>
      <c r="P19" s="3650"/>
      <c r="Q19" s="3650"/>
      <c r="R19" s="3661">
        <v>672705116</v>
      </c>
    </row>
    <row r="20" spans="1:26" ht="21" hidden="1">
      <c r="A20" s="3660">
        <v>1990</v>
      </c>
      <c r="B20" s="3650">
        <v>11805283</v>
      </c>
      <c r="C20" s="3650">
        <v>90219268</v>
      </c>
      <c r="D20" s="3650">
        <v>60153433</v>
      </c>
      <c r="E20" s="3650"/>
      <c r="F20" s="3650"/>
      <c r="G20" s="3650"/>
      <c r="H20" s="3650"/>
      <c r="I20" s="3650"/>
      <c r="J20" s="3650"/>
      <c r="K20" s="3650"/>
      <c r="L20" s="3650"/>
      <c r="M20" s="3650"/>
      <c r="N20" s="3650"/>
      <c r="O20" s="3650"/>
      <c r="P20" s="3650"/>
      <c r="Q20" s="3650"/>
      <c r="R20" s="3661">
        <v>743181436</v>
      </c>
    </row>
    <row r="21" spans="1:26" ht="21" hidden="1">
      <c r="A21" s="3660">
        <v>1991</v>
      </c>
      <c r="B21" s="3650">
        <v>12581423</v>
      </c>
      <c r="C21" s="3650">
        <v>96077818</v>
      </c>
      <c r="D21" s="3650">
        <v>63478062</v>
      </c>
      <c r="E21" s="3650"/>
      <c r="F21" s="3650"/>
      <c r="G21" s="3650"/>
      <c r="H21" s="3650"/>
      <c r="I21" s="3650"/>
      <c r="J21" s="3650"/>
      <c r="K21" s="3650"/>
      <c r="L21" s="3650"/>
      <c r="M21" s="3650"/>
      <c r="N21" s="3650"/>
      <c r="O21" s="3650"/>
      <c r="P21" s="3650"/>
      <c r="Q21" s="3650"/>
      <c r="R21" s="3661">
        <v>794513142</v>
      </c>
    </row>
    <row r="22" spans="1:26" ht="21" hidden="1">
      <c r="A22" s="3660">
        <v>1992</v>
      </c>
      <c r="B22" s="3650">
        <v>14326100</v>
      </c>
      <c r="C22" s="3650">
        <v>98197652</v>
      </c>
      <c r="D22" s="3650">
        <v>64334728</v>
      </c>
      <c r="E22" s="3650"/>
      <c r="F22" s="3650"/>
      <c r="G22" s="3650"/>
      <c r="H22" s="3650"/>
      <c r="I22" s="3650"/>
      <c r="J22" s="3650"/>
      <c r="K22" s="3650"/>
      <c r="L22" s="3650"/>
      <c r="M22" s="3650"/>
      <c r="N22" s="3650"/>
      <c r="O22" s="3650"/>
      <c r="P22" s="3650"/>
      <c r="Q22" s="3650"/>
      <c r="R22" s="3661">
        <v>815471315</v>
      </c>
    </row>
    <row r="23" spans="1:26" ht="21" hidden="1">
      <c r="A23" s="3660">
        <v>1993</v>
      </c>
      <c r="B23" s="3650">
        <v>14082227</v>
      </c>
      <c r="C23" s="3650">
        <v>96815707</v>
      </c>
      <c r="D23" s="3650">
        <v>63476558</v>
      </c>
      <c r="E23" s="3650"/>
      <c r="F23" s="3650"/>
      <c r="G23" s="3650"/>
      <c r="H23" s="3650"/>
      <c r="I23" s="3650"/>
      <c r="J23" s="3650"/>
      <c r="K23" s="3650"/>
      <c r="L23" s="3650"/>
      <c r="M23" s="3650"/>
      <c r="N23" s="3650"/>
      <c r="O23" s="3650"/>
      <c r="P23" s="3650"/>
      <c r="Q23" s="3650"/>
      <c r="R23" s="3661">
        <v>807093931</v>
      </c>
    </row>
    <row r="24" spans="1:26" ht="21" hidden="1">
      <c r="A24" s="3660">
        <v>1994</v>
      </c>
      <c r="B24" s="3650">
        <v>16006357</v>
      </c>
      <c r="C24" s="3650">
        <v>97394634</v>
      </c>
      <c r="D24" s="3650">
        <v>63267765</v>
      </c>
      <c r="E24" s="3650"/>
      <c r="F24" s="3650"/>
      <c r="G24" s="3650"/>
      <c r="H24" s="3650"/>
      <c r="I24" s="3650"/>
      <c r="J24" s="3650"/>
      <c r="K24" s="3650"/>
      <c r="L24" s="3650"/>
      <c r="M24" s="3650"/>
      <c r="N24" s="3650"/>
      <c r="O24" s="3650"/>
      <c r="P24" s="3650"/>
      <c r="Q24" s="3650"/>
      <c r="R24" s="3661">
        <v>823849796</v>
      </c>
    </row>
    <row r="25" spans="1:26" ht="21" hidden="1">
      <c r="A25" s="3660">
        <v>1995</v>
      </c>
      <c r="B25" s="3650">
        <v>17933752</v>
      </c>
      <c r="C25" s="3650">
        <v>97129177</v>
      </c>
      <c r="D25" s="3650">
        <v>63094311</v>
      </c>
      <c r="E25" s="3650"/>
      <c r="F25" s="3650"/>
      <c r="G25" s="3650"/>
      <c r="H25" s="3650"/>
      <c r="I25" s="3650"/>
      <c r="J25" s="3650"/>
      <c r="K25" s="3650"/>
      <c r="L25" s="3650"/>
      <c r="M25" s="3650"/>
      <c r="N25" s="3650"/>
      <c r="O25" s="3650"/>
      <c r="P25" s="3650"/>
      <c r="Q25" s="3650"/>
      <c r="R25" s="3661">
        <v>824586457</v>
      </c>
    </row>
    <row r="26" spans="1:26" ht="21" hidden="1">
      <c r="A26" s="3660">
        <v>1996</v>
      </c>
      <c r="B26" s="3650">
        <v>18982887</v>
      </c>
      <c r="C26" s="3650">
        <v>100257862</v>
      </c>
      <c r="D26" s="3650">
        <v>65013110</v>
      </c>
      <c r="E26" s="3650"/>
      <c r="F26" s="3650"/>
      <c r="G26" s="3650"/>
      <c r="H26" s="3650"/>
      <c r="I26" s="3650"/>
      <c r="J26" s="3650"/>
      <c r="K26" s="3650"/>
      <c r="L26" s="3650"/>
      <c r="M26" s="3650"/>
      <c r="N26" s="3650"/>
      <c r="O26" s="3650"/>
      <c r="P26" s="3650"/>
      <c r="Q26" s="3650"/>
      <c r="R26" s="3661">
        <v>859190995</v>
      </c>
    </row>
    <row r="27" spans="1:26" ht="21" hidden="1">
      <c r="A27" s="3660">
        <v>1997</v>
      </c>
      <c r="B27" s="3650">
        <v>19924478</v>
      </c>
      <c r="C27" s="3650">
        <v>105084291</v>
      </c>
      <c r="D27" s="3650">
        <v>68024148</v>
      </c>
      <c r="E27" s="3650"/>
      <c r="F27" s="3650"/>
      <c r="G27" s="3650"/>
      <c r="H27" s="3650"/>
      <c r="I27" s="3650"/>
      <c r="J27" s="3650"/>
      <c r="K27" s="3650"/>
      <c r="L27" s="3650"/>
      <c r="M27" s="3650"/>
      <c r="N27" s="3650"/>
      <c r="O27" s="3650"/>
      <c r="P27" s="3650"/>
      <c r="Q27" s="3650"/>
      <c r="R27" s="3661">
        <v>902050614</v>
      </c>
    </row>
    <row r="28" spans="1:26" ht="21" hidden="1">
      <c r="A28" s="3662">
        <v>1999</v>
      </c>
      <c r="B28" s="3663">
        <v>22975860</v>
      </c>
      <c r="C28" s="3663">
        <v>110834725</v>
      </c>
      <c r="D28" s="3663">
        <v>72114201</v>
      </c>
      <c r="E28" s="3663">
        <v>27825636</v>
      </c>
      <c r="F28" s="3663">
        <v>74698964</v>
      </c>
      <c r="G28" s="3663">
        <v>170812639</v>
      </c>
      <c r="H28" s="3663">
        <v>6514888</v>
      </c>
      <c r="I28" s="3663">
        <v>9214193</v>
      </c>
      <c r="J28" s="3663">
        <v>16731674</v>
      </c>
      <c r="K28" s="3663">
        <v>18743457</v>
      </c>
      <c r="L28" s="3663">
        <v>13836275</v>
      </c>
      <c r="M28" s="3663">
        <v>71144782</v>
      </c>
      <c r="N28" s="3663">
        <v>205707921</v>
      </c>
      <c r="O28" s="3663">
        <v>23244564</v>
      </c>
      <c r="P28" s="3663">
        <v>7818803</v>
      </c>
      <c r="Q28" s="3663">
        <v>26752797</v>
      </c>
      <c r="R28" s="3664">
        <f t="shared" ref="R28:R44" si="0">SUM(B28:Q28)</f>
        <v>878971379</v>
      </c>
      <c r="V28" s="3652"/>
    </row>
    <row r="29" spans="1:26" ht="21" hidden="1">
      <c r="A29" s="3662">
        <v>2000</v>
      </c>
      <c r="B29" s="3663">
        <v>27473857</v>
      </c>
      <c r="C29" s="3663">
        <v>113926564</v>
      </c>
      <c r="D29" s="3663">
        <v>74752683</v>
      </c>
      <c r="E29" s="3663">
        <v>28256895</v>
      </c>
      <c r="F29" s="3663">
        <v>87656905</v>
      </c>
      <c r="G29" s="3663">
        <v>176299516</v>
      </c>
      <c r="H29" s="3663">
        <v>6930079</v>
      </c>
      <c r="I29" s="3663">
        <v>9468849</v>
      </c>
      <c r="J29" s="3663">
        <v>16995597</v>
      </c>
      <c r="K29" s="3663">
        <v>19712219</v>
      </c>
      <c r="L29" s="3663">
        <v>14663420</v>
      </c>
      <c r="M29" s="3663">
        <v>77339879</v>
      </c>
      <c r="N29" s="3663">
        <v>217908946</v>
      </c>
      <c r="O29" s="3663">
        <v>24474812</v>
      </c>
      <c r="P29" s="3663">
        <v>8495785</v>
      </c>
      <c r="Q29" s="3663">
        <v>27529743</v>
      </c>
      <c r="R29" s="3664">
        <f t="shared" si="0"/>
        <v>931885749</v>
      </c>
      <c r="S29" s="3665"/>
      <c r="T29" s="3665"/>
      <c r="U29" s="3665"/>
      <c r="V29" s="3652"/>
      <c r="W29" s="3658"/>
      <c r="X29" s="3658"/>
      <c r="Y29" s="3658"/>
      <c r="Z29" s="3658"/>
    </row>
    <row r="30" spans="1:26" ht="21" hidden="1">
      <c r="A30" s="3662">
        <v>2001</v>
      </c>
      <c r="B30" s="3663">
        <v>28787326</v>
      </c>
      <c r="C30" s="3663">
        <v>117598161</v>
      </c>
      <c r="D30" s="3663">
        <v>76652244</v>
      </c>
      <c r="E30" s="3663">
        <v>29798959</v>
      </c>
      <c r="F30" s="3663">
        <v>92972079</v>
      </c>
      <c r="G30" s="3663">
        <v>181348752</v>
      </c>
      <c r="H30" s="3663">
        <v>7128512</v>
      </c>
      <c r="I30" s="3663">
        <v>9765222</v>
      </c>
      <c r="J30" s="3663">
        <v>17441228</v>
      </c>
      <c r="K30" s="3663">
        <v>20634131</v>
      </c>
      <c r="L30" s="3663">
        <v>16125548</v>
      </c>
      <c r="M30" s="3663">
        <v>80660052</v>
      </c>
      <c r="N30" s="3663">
        <v>224822288</v>
      </c>
      <c r="O30" s="3663">
        <v>25731533</v>
      </c>
      <c r="P30" s="3663">
        <v>9062178</v>
      </c>
      <c r="Q30" s="3663">
        <v>29051498</v>
      </c>
      <c r="R30" s="3664">
        <f t="shared" si="0"/>
        <v>967579711</v>
      </c>
      <c r="S30" s="3665"/>
      <c r="T30" s="3665"/>
      <c r="U30" s="3665"/>
      <c r="V30" s="3652"/>
      <c r="W30" s="3658"/>
      <c r="X30" s="3658"/>
      <c r="Y30" s="3658"/>
      <c r="Z30" s="3658"/>
    </row>
    <row r="31" spans="1:26" ht="21" hidden="1">
      <c r="A31" s="3662">
        <v>2002</v>
      </c>
      <c r="B31" s="3663">
        <v>30896721.654999994</v>
      </c>
      <c r="C31" s="3663">
        <v>119201197.20000002</v>
      </c>
      <c r="D31" s="3663">
        <v>77443208.189999998</v>
      </c>
      <c r="E31" s="3663">
        <v>31297556</v>
      </c>
      <c r="F31" s="3663">
        <v>103954957</v>
      </c>
      <c r="G31" s="3663">
        <v>183087616</v>
      </c>
      <c r="H31" s="3663">
        <v>7069763</v>
      </c>
      <c r="I31" s="3663">
        <v>9887941</v>
      </c>
      <c r="J31" s="3663">
        <v>17313123</v>
      </c>
      <c r="K31" s="3663">
        <v>21202694</v>
      </c>
      <c r="L31" s="3663">
        <v>18071000</v>
      </c>
      <c r="M31" s="3663">
        <v>82022230</v>
      </c>
      <c r="N31" s="3663">
        <v>227353040</v>
      </c>
      <c r="O31" s="3663">
        <v>26387937</v>
      </c>
      <c r="P31" s="3663">
        <v>9711231</v>
      </c>
      <c r="Q31" s="3663">
        <v>29769352</v>
      </c>
      <c r="R31" s="3664">
        <f t="shared" si="0"/>
        <v>994669567.04500008</v>
      </c>
      <c r="S31" s="3665"/>
      <c r="T31" s="3665"/>
      <c r="U31" s="3665"/>
      <c r="V31" s="3652"/>
      <c r="W31" s="3658"/>
      <c r="X31" s="3658"/>
      <c r="Y31" s="3658"/>
      <c r="Z31" s="3658"/>
    </row>
    <row r="32" spans="1:26" ht="21" hidden="1">
      <c r="A32" s="3662">
        <v>2003</v>
      </c>
      <c r="B32" s="3663">
        <v>31386698</v>
      </c>
      <c r="C32" s="3663">
        <v>120915859</v>
      </c>
      <c r="D32" s="3663">
        <v>78362460</v>
      </c>
      <c r="E32" s="3663">
        <v>32132864</v>
      </c>
      <c r="F32" s="3663">
        <v>106803011</v>
      </c>
      <c r="G32" s="3663">
        <v>190985943</v>
      </c>
      <c r="H32" s="3663">
        <v>7178766</v>
      </c>
      <c r="I32" s="3663">
        <v>10021712</v>
      </c>
      <c r="J32" s="3663">
        <v>17564153</v>
      </c>
      <c r="K32" s="3663">
        <v>21877293</v>
      </c>
      <c r="L32" s="3663">
        <v>18339515</v>
      </c>
      <c r="M32" s="3663">
        <v>84357924</v>
      </c>
      <c r="N32" s="3663">
        <f>231610732-16010706-38156722</f>
        <v>177443304</v>
      </c>
      <c r="O32" s="3663">
        <v>26819428</v>
      </c>
      <c r="P32" s="3663">
        <v>9858744</v>
      </c>
      <c r="Q32" s="3663">
        <v>30953163</v>
      </c>
      <c r="R32" s="3664">
        <f t="shared" si="0"/>
        <v>965000837</v>
      </c>
      <c r="S32" s="3665"/>
      <c r="T32" s="3665"/>
      <c r="U32" s="3665"/>
      <c r="V32" s="3652"/>
      <c r="W32" s="3658"/>
      <c r="X32" s="3658"/>
      <c r="Y32" s="3658"/>
      <c r="Z32" s="3658"/>
    </row>
    <row r="33" spans="1:26" ht="21" hidden="1">
      <c r="A33" s="3662">
        <v>2004</v>
      </c>
      <c r="B33" s="3663">
        <v>32690042.746189564</v>
      </c>
      <c r="C33" s="3663">
        <v>121915737.81172976</v>
      </c>
      <c r="D33" s="3663">
        <v>77889241.149079069</v>
      </c>
      <c r="E33" s="3663">
        <v>33747987</v>
      </c>
      <c r="F33" s="3663">
        <v>117518755</v>
      </c>
      <c r="G33" s="3663">
        <v>191812508</v>
      </c>
      <c r="H33" s="3663">
        <v>7343242</v>
      </c>
      <c r="I33" s="3663">
        <v>9968950</v>
      </c>
      <c r="J33" s="3663">
        <v>17178540</v>
      </c>
      <c r="K33" s="3663">
        <v>22489345</v>
      </c>
      <c r="L33" s="3663">
        <v>18634905</v>
      </c>
      <c r="M33" s="3663">
        <v>87242881</v>
      </c>
      <c r="N33" s="3663">
        <f>233010461-16349136-40510422</f>
        <v>176150903</v>
      </c>
      <c r="O33" s="3663">
        <v>26412712</v>
      </c>
      <c r="P33" s="3663">
        <v>9985054</v>
      </c>
      <c r="Q33" s="3663">
        <v>32383338</v>
      </c>
      <c r="R33" s="3664">
        <f t="shared" si="0"/>
        <v>983364141.70699835</v>
      </c>
      <c r="S33" s="3665"/>
      <c r="T33" s="3665"/>
      <c r="U33" s="3665"/>
      <c r="V33" s="3652"/>
      <c r="W33" s="3658"/>
      <c r="X33" s="3658"/>
      <c r="Y33" s="3658"/>
      <c r="Z33" s="3658"/>
    </row>
    <row r="34" spans="1:26" ht="21" hidden="1">
      <c r="A34" s="3662">
        <v>2005</v>
      </c>
      <c r="B34" s="3663">
        <v>33696184.856189571</v>
      </c>
      <c r="C34" s="3663">
        <v>124874105.54444827</v>
      </c>
      <c r="D34" s="3663">
        <v>78929474.384079069</v>
      </c>
      <c r="E34" s="3663">
        <v>35931027</v>
      </c>
      <c r="F34" s="3663">
        <v>128532337</v>
      </c>
      <c r="G34" s="3663">
        <v>195251210</v>
      </c>
      <c r="H34" s="3663">
        <v>7598569</v>
      </c>
      <c r="I34" s="3663">
        <v>10099818</v>
      </c>
      <c r="J34" s="3663">
        <v>17173419</v>
      </c>
      <c r="K34" s="3663">
        <v>23014419</v>
      </c>
      <c r="L34" s="3663">
        <v>19186666</v>
      </c>
      <c r="M34" s="3663">
        <v>90343396</v>
      </c>
      <c r="N34" s="3663">
        <f>240172228-16642165-41827184</f>
        <v>181702879</v>
      </c>
      <c r="O34" s="3663">
        <v>26547810</v>
      </c>
      <c r="P34" s="3663">
        <v>10255208</v>
      </c>
      <c r="Q34" s="3663">
        <v>34152780</v>
      </c>
      <c r="R34" s="3664">
        <f t="shared" si="0"/>
        <v>1017289302.7847168</v>
      </c>
      <c r="S34" s="3665"/>
      <c r="T34" s="3665"/>
      <c r="U34" s="3665"/>
      <c r="V34" s="3652"/>
      <c r="W34" s="3658"/>
      <c r="X34" s="3658"/>
      <c r="Y34" s="3658"/>
      <c r="Z34" s="3658"/>
    </row>
    <row r="35" spans="1:26" ht="21" hidden="1">
      <c r="A35" s="3662">
        <v>2006</v>
      </c>
      <c r="B35" s="3663">
        <v>34089286</v>
      </c>
      <c r="C35" s="3663">
        <v>124351153</v>
      </c>
      <c r="D35" s="3663">
        <v>76085538</v>
      </c>
      <c r="E35" s="3663">
        <v>36654617</v>
      </c>
      <c r="F35" s="3663">
        <v>138587242</v>
      </c>
      <c r="G35" s="3663">
        <v>192152673</v>
      </c>
      <c r="H35" s="3663">
        <v>7570790</v>
      </c>
      <c r="I35" s="3663">
        <v>10162502</v>
      </c>
      <c r="J35" s="3663">
        <v>17514736</v>
      </c>
      <c r="K35" s="3663">
        <v>22660743</v>
      </c>
      <c r="L35" s="3663">
        <v>19141674</v>
      </c>
      <c r="M35" s="3663">
        <v>90493043</v>
      </c>
      <c r="N35" s="3663">
        <f>239076505-16754167-45477340</f>
        <v>176844998</v>
      </c>
      <c r="O35" s="3663">
        <v>26146127</v>
      </c>
      <c r="P35" s="3663">
        <v>10298659</v>
      </c>
      <c r="Q35" s="3663">
        <v>34961547</v>
      </c>
      <c r="R35" s="3664">
        <f t="shared" si="0"/>
        <v>1017715328</v>
      </c>
      <c r="S35" s="3665"/>
      <c r="T35" s="3665"/>
      <c r="U35" s="3665"/>
      <c r="V35" s="3652"/>
      <c r="W35" s="3658"/>
      <c r="X35" s="3658"/>
      <c r="Y35" s="3658"/>
      <c r="Z35" s="3658"/>
    </row>
    <row r="36" spans="1:26" ht="21">
      <c r="A36" s="3662">
        <v>2007</v>
      </c>
      <c r="B36" s="3663">
        <f>VLOOKUP(B$5,'Debt Service 2000-2032'!$A$5:$O$21,9,0)</f>
        <v>5901601</v>
      </c>
      <c r="C36" s="3663">
        <f>VLOOKUP(C$5,'Debt Service 2000-2032'!$A$5:$O$21,9,0)</f>
        <v>10808931</v>
      </c>
      <c r="D36" s="3663">
        <f>VLOOKUP(D$5,'Debt Service 2000-2032'!$A$5:$O$21,9,0)</f>
        <v>7282616</v>
      </c>
      <c r="E36" s="3663">
        <f>VLOOKUP(E$5,'Debt Service 2000-2032'!$A$5:$O$21,9,0)</f>
        <v>3861825</v>
      </c>
      <c r="F36" s="3663">
        <f>VLOOKUP(F$5,'Debt Service 2000-2032'!$A$5:$O$21,9,0)</f>
        <v>13119374</v>
      </c>
      <c r="G36" s="3663">
        <f>VLOOKUP(G$5,'Debt Service 2000-2032'!$A$5:$O$21,9,0)</f>
        <v>24575676</v>
      </c>
      <c r="H36" s="3663">
        <f>VLOOKUP(H$5,'Debt Service 2000-2032'!$A$5:$O$21,9,0)</f>
        <v>2026511</v>
      </c>
      <c r="I36" s="3663">
        <f>VLOOKUP(I$5,'Debt Service 2000-2032'!$A$5:$O$21,9,0)</f>
        <v>2425461</v>
      </c>
      <c r="J36" s="3663">
        <f>VLOOKUP(J$5,'Debt Service 2000-2032'!$A$5:$O$21,9,0)</f>
        <v>4281276</v>
      </c>
      <c r="K36" s="3663">
        <f>VLOOKUP(K$5,'Debt Service 2000-2032'!$A$5:$O$21,9,0)</f>
        <v>5912806</v>
      </c>
      <c r="L36" s="3663">
        <f>VLOOKUP(L$5,'Debt Service 2000-2032'!$A$5:$O$21,9,0)</f>
        <v>5202237</v>
      </c>
      <c r="M36" s="3663">
        <f>VLOOKUP(M$5,'Debt Service 2000-2032'!$A$5:$O$21,9,0)</f>
        <v>16403766</v>
      </c>
      <c r="N36" s="3663">
        <f>VLOOKUP(N$5,'Debt Service 2000-2032'!$A$5:$O$21,9,0)</f>
        <v>20920977</v>
      </c>
      <c r="O36" s="3663">
        <f>VLOOKUP(O$5,'Debt Service 2000-2032'!$A$5:$O$21,9,0)</f>
        <v>1941138</v>
      </c>
      <c r="P36" s="3663">
        <f>VLOOKUP(P$5,'Debt Service 2000-2032'!$A$5:$O$21,9,0)</f>
        <v>0</v>
      </c>
      <c r="Q36" s="3663">
        <f>VLOOKUP(Q$5,'Debt Service 2000-2032'!$A$5:$O$21,9,0)</f>
        <v>3240770</v>
      </c>
      <c r="R36" s="3664">
        <f t="shared" si="0"/>
        <v>127904965</v>
      </c>
      <c r="S36" s="3665"/>
      <c r="T36" s="3665"/>
      <c r="U36" s="3665"/>
      <c r="V36" s="3652"/>
      <c r="W36" s="3658"/>
      <c r="X36" s="3658"/>
      <c r="Y36" s="3658"/>
      <c r="Z36" s="3658"/>
    </row>
    <row r="37" spans="1:26" ht="21">
      <c r="A37" s="3662">
        <v>2008</v>
      </c>
      <c r="B37" s="3663">
        <f>VLOOKUP(B$5,'Debt Service 2000-2032'!$A$5:$O$21,10,0)</f>
        <v>9488222</v>
      </c>
      <c r="C37" s="3663">
        <f>VLOOKUP(C$5,'Debt Service 2000-2032'!$A$5:$O$21,10,0)</f>
        <v>12408664</v>
      </c>
      <c r="D37" s="3663">
        <f>VLOOKUP(D$5,'Debt Service 2000-2032'!$A$5:$O$21,10,0)</f>
        <v>9465483</v>
      </c>
      <c r="E37" s="3663">
        <f>VLOOKUP(E$5,'Debt Service 2000-2032'!$A$5:$O$21,10,0)</f>
        <v>5364551</v>
      </c>
      <c r="F37" s="3663">
        <f>VLOOKUP(F$5,'Debt Service 2000-2032'!$A$5:$O$21,10,0)</f>
        <v>20738001</v>
      </c>
      <c r="G37" s="3663">
        <f>VLOOKUP(G$5,'Debt Service 2000-2032'!$A$5:$O$21,10,0)</f>
        <v>24822802</v>
      </c>
      <c r="H37" s="3663">
        <f>VLOOKUP(H$5,'Debt Service 2000-2032'!$A$5:$O$21,10,0)</f>
        <v>2038168</v>
      </c>
      <c r="I37" s="3663">
        <f>VLOOKUP(I$5,'Debt Service 2000-2032'!$A$5:$O$21,10,0)</f>
        <v>2394273</v>
      </c>
      <c r="J37" s="3663">
        <f>VLOOKUP(J$5,'Debt Service 2000-2032'!$A$5:$O$21,10,0)</f>
        <v>4316246</v>
      </c>
      <c r="K37" s="3663">
        <f>VLOOKUP(K$5,'Debt Service 2000-2032'!$A$5:$O$21,10,0)</f>
        <v>5967558</v>
      </c>
      <c r="L37" s="3663">
        <f>VLOOKUP(L$5,'Debt Service 2000-2032'!$A$5:$O$21,10,0)</f>
        <v>5266033</v>
      </c>
      <c r="M37" s="3663">
        <f>VLOOKUP(M$5,'Debt Service 2000-2032'!$A$5:$O$21,10,0)</f>
        <v>20727099</v>
      </c>
      <c r="N37" s="3663">
        <f>VLOOKUP(N$5,'Debt Service 2000-2032'!$A$5:$O$21,10,0)</f>
        <v>23928533</v>
      </c>
      <c r="O37" s="3663">
        <f>VLOOKUP(O$5,'Debt Service 2000-2032'!$A$5:$O$21,10,0)</f>
        <v>1549834</v>
      </c>
      <c r="P37" s="3663">
        <f>VLOOKUP(P$5,'Debt Service 2000-2032'!$A$5:$O$21,10,0)</f>
        <v>0</v>
      </c>
      <c r="Q37" s="3663">
        <f>VLOOKUP(Q$5,'Debt Service 2000-2032'!$A$5:$O$21,10,0)</f>
        <v>4223331</v>
      </c>
      <c r="R37" s="3664">
        <f t="shared" si="0"/>
        <v>152698798</v>
      </c>
      <c r="S37" s="3665"/>
      <c r="T37" s="3665"/>
      <c r="U37" s="3665"/>
      <c r="V37" s="3652"/>
      <c r="W37" s="3658"/>
      <c r="X37" s="3658"/>
      <c r="Y37" s="3658"/>
      <c r="Z37" s="3658"/>
    </row>
    <row r="38" spans="1:26" ht="21">
      <c r="A38" s="3662">
        <v>2009</v>
      </c>
      <c r="B38" s="3663">
        <f>VLOOKUP(B$5,'Debt Service 2000-2032'!$A$5:$O$21,11,0)</f>
        <v>10996853</v>
      </c>
      <c r="C38" s="3663">
        <f>VLOOKUP(C$5,'Debt Service 2000-2032'!$A$5:$O$21,11,0)</f>
        <v>14064079</v>
      </c>
      <c r="D38" s="3663">
        <f>VLOOKUP(D$5,'Debt Service 2000-2032'!$A$5:$O$21,11,0)</f>
        <v>10224769</v>
      </c>
      <c r="E38" s="3663">
        <f>VLOOKUP(E$5,'Debt Service 2000-2032'!$A$5:$O$21,11,0)</f>
        <v>6700593</v>
      </c>
      <c r="F38" s="3663">
        <f>VLOOKUP(F$5,'Debt Service 2000-2032'!$A$5:$O$21,11,0)</f>
        <v>27967850</v>
      </c>
      <c r="G38" s="3663">
        <f>VLOOKUP(G$5,'Debt Service 2000-2032'!$A$5:$O$21,11,0)</f>
        <v>26118321</v>
      </c>
      <c r="H38" s="3663">
        <f>VLOOKUP(H$5,'Debt Service 2000-2032'!$A$5:$O$21,11,0)</f>
        <v>2001956</v>
      </c>
      <c r="I38" s="3663">
        <f>VLOOKUP(I$5,'Debt Service 2000-2032'!$A$5:$O$21,11,0)</f>
        <v>2351735</v>
      </c>
      <c r="J38" s="3663">
        <f>VLOOKUP(J$5,'Debt Service 2000-2032'!$A$5:$O$21,11,0)</f>
        <v>4239561</v>
      </c>
      <c r="K38" s="3663">
        <f>VLOOKUP(K$5,'Debt Service 2000-2032'!$A$5:$O$21,11,0)</f>
        <v>7220812</v>
      </c>
      <c r="L38" s="3663">
        <f>VLOOKUP(L$5,'Debt Service 2000-2032'!$A$5:$O$21,11,0)</f>
        <v>5172474</v>
      </c>
      <c r="M38" s="3663">
        <f>VLOOKUP(M$5,'Debt Service 2000-2032'!$A$5:$O$21,11,0)</f>
        <v>20978428</v>
      </c>
      <c r="N38" s="3663">
        <f>VLOOKUP(N$5,'Debt Service 2000-2032'!$A$5:$O$21,11,0)</f>
        <v>26084329</v>
      </c>
      <c r="O38" s="3663">
        <f>VLOOKUP(O$5,'Debt Service 2000-2032'!$A$5:$O$21,11,0)</f>
        <v>1614058</v>
      </c>
      <c r="P38" s="3663">
        <f>VLOOKUP(P$5,'Debt Service 2000-2032'!$A$5:$O$21,11,0)</f>
        <v>0</v>
      </c>
      <c r="Q38" s="3663">
        <f>VLOOKUP(Q$5,'Debt Service 2000-2032'!$A$5:$O$21,11,0)</f>
        <v>5352031</v>
      </c>
      <c r="R38" s="3664">
        <f t="shared" si="0"/>
        <v>171087849</v>
      </c>
      <c r="S38" s="3665"/>
      <c r="T38" s="3665"/>
      <c r="U38" s="3665"/>
      <c r="V38" s="3652"/>
      <c r="W38" s="3658"/>
      <c r="X38" s="3658"/>
      <c r="Y38" s="3658"/>
      <c r="Z38" s="3658"/>
    </row>
    <row r="39" spans="1:26" ht="21">
      <c r="A39" s="3662">
        <v>2010</v>
      </c>
      <c r="B39" s="3663">
        <f>VLOOKUP(B$5,'Debt Service 2000-2032'!$A$5:$O$21,12,0)</f>
        <v>11920469</v>
      </c>
      <c r="C39" s="3663">
        <f>VLOOKUP(C$5,'Debt Service 2000-2032'!$A$5:$O$21,12,0)</f>
        <v>11543674</v>
      </c>
      <c r="D39" s="3663">
        <f>VLOOKUP(D$5,'Debt Service 2000-2032'!$A$5:$O$21,12,0)</f>
        <v>8231452</v>
      </c>
      <c r="E39" s="3663">
        <f>VLOOKUP(E$5,'Debt Service 2000-2032'!$A$5:$O$21,12,0)</f>
        <v>5275650</v>
      </c>
      <c r="F39" s="3663">
        <f>VLOOKUP(F$5,'Debt Service 2000-2032'!$A$5:$O$21,12,0)</f>
        <v>26656511</v>
      </c>
      <c r="G39" s="3663">
        <f>VLOOKUP(G$5,'Debt Service 2000-2032'!$A$5:$O$21,12,0)</f>
        <v>26901091</v>
      </c>
      <c r="H39" s="3663">
        <f>VLOOKUP(H$5,'Debt Service 2000-2032'!$A$5:$O$21,12,0)</f>
        <v>1896844</v>
      </c>
      <c r="I39" s="3663">
        <f>VLOOKUP(I$5,'Debt Service 2000-2032'!$A$5:$O$21,12,0)</f>
        <v>2103973</v>
      </c>
      <c r="J39" s="3663">
        <f>VLOOKUP(J$5,'Debt Service 2000-2032'!$A$5:$O$21,12,0)</f>
        <v>3899173</v>
      </c>
      <c r="K39" s="3663">
        <f>VLOOKUP(K$5,'Debt Service 2000-2032'!$A$5:$O$21,12,0)</f>
        <v>5658917</v>
      </c>
      <c r="L39" s="3663">
        <f>VLOOKUP(L$5,'Debt Service 2000-2032'!$A$5:$O$21,12,0)</f>
        <v>5048022</v>
      </c>
      <c r="M39" s="3663">
        <f>VLOOKUP(M$5,'Debt Service 2000-2032'!$A$5:$O$21,12,0)</f>
        <v>20004544</v>
      </c>
      <c r="N39" s="3663">
        <f>VLOOKUP(N$5,'Debt Service 2000-2032'!$A$5:$O$21,12,0)</f>
        <v>26722911</v>
      </c>
      <c r="O39" s="3663">
        <f>VLOOKUP(O$5,'Debt Service 2000-2032'!$A$5:$O$21,12,0)</f>
        <v>1491261</v>
      </c>
      <c r="P39" s="3663">
        <f>VLOOKUP(P$5,'Debt Service 2000-2032'!$A$5:$O$21,12,0)</f>
        <v>0</v>
      </c>
      <c r="Q39" s="3663">
        <f>VLOOKUP(Q$5,'Debt Service 2000-2032'!$A$5:$O$21,12,0)</f>
        <v>5995241</v>
      </c>
      <c r="R39" s="3664">
        <f t="shared" si="0"/>
        <v>163349733</v>
      </c>
      <c r="S39" s="3665"/>
      <c r="T39" s="3665"/>
      <c r="U39" s="3665"/>
      <c r="V39" s="3652"/>
      <c r="W39" s="3658"/>
      <c r="X39" s="3658"/>
      <c r="Y39" s="3658"/>
      <c r="Z39" s="3658"/>
    </row>
    <row r="40" spans="1:26" ht="21">
      <c r="A40" s="3662">
        <v>2011</v>
      </c>
      <c r="B40" s="3663">
        <f>VLOOKUP(B$5,'Debt Service 2000-2032'!$A$5:$O$21,13,0)</f>
        <v>11119519</v>
      </c>
      <c r="C40" s="3663">
        <f>VLOOKUP(C$5,'Debt Service 2000-2032'!$A$5:$O$21,13,0)</f>
        <v>14296955</v>
      </c>
      <c r="D40" s="3663">
        <f>VLOOKUP(D$5,'Debt Service 2000-2032'!$A$5:$O$21,13,0)</f>
        <v>9455023</v>
      </c>
      <c r="E40" s="3663">
        <f>VLOOKUP(E$5,'Debt Service 2000-2032'!$A$5:$O$21,13,0)</f>
        <v>5282662</v>
      </c>
      <c r="F40" s="3663">
        <f>VLOOKUP(F$5,'Debt Service 2000-2032'!$A$5:$O$21,13,0)</f>
        <v>31178968</v>
      </c>
      <c r="G40" s="3663">
        <f>VLOOKUP(G$5,'Debt Service 2000-2032'!$A$5:$O$21,13,0)</f>
        <v>39480478</v>
      </c>
      <c r="H40" s="3663">
        <f>VLOOKUP(H$5,'Debt Service 2000-2032'!$A$5:$O$21,13,0)</f>
        <v>1400591</v>
      </c>
      <c r="I40" s="3663">
        <f>VLOOKUP(I$5,'Debt Service 2000-2032'!$A$5:$O$21,13,0)</f>
        <v>1553532</v>
      </c>
      <c r="J40" s="3663">
        <f>VLOOKUP(J$5,'Debt Service 2000-2032'!$A$5:$O$21,13,0)</f>
        <v>2879072</v>
      </c>
      <c r="K40" s="3663">
        <f>VLOOKUP(K$5,'Debt Service 2000-2032'!$A$5:$O$21,13,0)</f>
        <v>4178432</v>
      </c>
      <c r="L40" s="3663">
        <f>VLOOKUP(L$5,'Debt Service 2000-2032'!$A$5:$O$21,13,0)</f>
        <v>3727359</v>
      </c>
      <c r="M40" s="3663">
        <f>VLOOKUP(M$5,'Debt Service 2000-2032'!$A$5:$O$21,13,0)</f>
        <v>13472705</v>
      </c>
      <c r="N40" s="3663">
        <f>VLOOKUP(N$5,'Debt Service 2000-2032'!$A$5:$O$21,13,0)</f>
        <v>27614524</v>
      </c>
      <c r="O40" s="3663">
        <f>VLOOKUP(O$5,'Debt Service 2000-2032'!$A$5:$O$21,13,0)</f>
        <v>1491824</v>
      </c>
      <c r="P40" s="3663">
        <f>VLOOKUP(P$5,'Debt Service 2000-2032'!$A$5:$O$21,13,0)</f>
        <v>0</v>
      </c>
      <c r="Q40" s="3663">
        <f>VLOOKUP(Q$5,'Debt Service 2000-2032'!$A$5:$O$21,13,0)</f>
        <v>5980642</v>
      </c>
      <c r="R40" s="3664">
        <f t="shared" si="0"/>
        <v>173112286</v>
      </c>
      <c r="V40" s="3652"/>
    </row>
    <row r="41" spans="1:26" ht="21">
      <c r="A41" s="3662">
        <v>2012</v>
      </c>
      <c r="B41" s="3663">
        <f>VLOOKUP(B$5,'Debt Service 2000-2032'!$A$5:$O$21,14,0)</f>
        <v>10998767</v>
      </c>
      <c r="C41" s="3663">
        <f>VLOOKUP(C$5,'Debt Service 2000-2032'!$A$5:$O$21,14,0)</f>
        <v>14038557</v>
      </c>
      <c r="D41" s="3663">
        <f>VLOOKUP(D$5,'Debt Service 2000-2032'!$A$5:$O$21,14,0)</f>
        <v>8887196</v>
      </c>
      <c r="E41" s="3663">
        <f>VLOOKUP(E$5,'Debt Service 2000-2032'!$A$5:$O$21,14,0)</f>
        <v>4176639</v>
      </c>
      <c r="F41" s="3663">
        <f>VLOOKUP(F$5,'Debt Service 2000-2032'!$A$5:$O$21,14,0)</f>
        <v>29817924</v>
      </c>
      <c r="G41" s="3663">
        <f>VLOOKUP(G$5,'Debt Service 2000-2032'!$A$5:$O$21,14,0)</f>
        <v>22984251</v>
      </c>
      <c r="H41" s="3663">
        <f>VLOOKUP(H$5,'Debt Service 2000-2032'!$A$5:$O$21,14,0)</f>
        <v>1399673</v>
      </c>
      <c r="I41" s="3663">
        <f>VLOOKUP(I$5,'Debt Service 2000-2032'!$A$5:$O$21,14,0)</f>
        <v>1819808</v>
      </c>
      <c r="J41" s="3663">
        <f>VLOOKUP(J$5,'Debt Service 2000-2032'!$A$5:$O$21,14,0)</f>
        <v>2595769</v>
      </c>
      <c r="K41" s="3663">
        <f>VLOOKUP(K$5,'Debt Service 2000-2032'!$A$5:$O$21,14,0)</f>
        <v>4263191</v>
      </c>
      <c r="L41" s="3663">
        <f>VLOOKUP(L$5,'Debt Service 2000-2032'!$A$5:$O$21,14,0)</f>
        <v>3046340</v>
      </c>
      <c r="M41" s="3663">
        <f>VLOOKUP(M$5,'Debt Service 2000-2032'!$A$5:$O$21,14,0)</f>
        <v>12609726.640000001</v>
      </c>
      <c r="N41" s="3663">
        <f>VLOOKUP(N$5,'Debt Service 2000-2032'!$A$5:$O$21,14,0)</f>
        <v>25150230</v>
      </c>
      <c r="O41" s="3663">
        <f>VLOOKUP(O$5,'Debt Service 2000-2032'!$A$5:$O$21,14,0)</f>
        <v>1490058</v>
      </c>
      <c r="P41" s="3663">
        <f>VLOOKUP(P$5,'Debt Service 2000-2032'!$A$5:$O$21,14,0)</f>
        <v>0</v>
      </c>
      <c r="Q41" s="3663">
        <f>VLOOKUP(Q$5,'Debt Service 2000-2032'!$A$5:$O$21,14,0)</f>
        <v>5412164</v>
      </c>
      <c r="R41" s="3664">
        <f t="shared" si="0"/>
        <v>148690293.63999999</v>
      </c>
      <c r="V41" s="3652"/>
    </row>
    <row r="42" spans="1:26" ht="21">
      <c r="A42" s="3662">
        <v>2013</v>
      </c>
      <c r="B42" s="3663">
        <f>VLOOKUP(B$5,'Debt Service 2000-2032'!$A$5:$O$21,15,0)</f>
        <v>12134116</v>
      </c>
      <c r="C42" s="3663">
        <f>VLOOKUP(C$5,'Debt Service 2000-2032'!$A$5:$O$21,15,0)</f>
        <v>14678487</v>
      </c>
      <c r="D42" s="3663">
        <f>VLOOKUP(D$5,'Debt Service 2000-2032'!$A$5:$O$21,15,0)</f>
        <v>8906871</v>
      </c>
      <c r="E42" s="3663">
        <f>VLOOKUP(E$5,'Debt Service 2000-2032'!$A$5:$O$21,15,0)</f>
        <v>4869491</v>
      </c>
      <c r="F42" s="3663">
        <f>VLOOKUP(F$5,'Debt Service 2000-2032'!$A$5:$O$21,15,0)</f>
        <v>30805687</v>
      </c>
      <c r="G42" s="3663">
        <f>VLOOKUP(G$5,'Debt Service 2000-2032'!$A$5:$O$21,15,0)</f>
        <v>15668143</v>
      </c>
      <c r="H42" s="3663">
        <f>VLOOKUP(H$5,'Debt Service 2000-2032'!$A$5:$O$21,15,0)</f>
        <v>1399262</v>
      </c>
      <c r="I42" s="3663">
        <f>VLOOKUP(I$5,'Debt Service 2000-2032'!$A$5:$O$21,15,0)</f>
        <v>1818053</v>
      </c>
      <c r="J42" s="3663">
        <f>VLOOKUP(J$5,'Debt Service 2000-2032'!$A$5:$O$21,15,0)</f>
        <v>2801821</v>
      </c>
      <c r="K42" s="3663">
        <f>VLOOKUP(K$5,'Debt Service 2000-2032'!$A$5:$O$21,15,0)</f>
        <v>4263860</v>
      </c>
      <c r="L42" s="3663">
        <f>VLOOKUP(L$5,'Debt Service 2000-2032'!$A$5:$O$21,15,0)</f>
        <v>3052964</v>
      </c>
      <c r="M42" s="3663">
        <f>VLOOKUP(M$5,'Debt Service 2000-2032'!$A$5:$O$21,15,0)</f>
        <v>15664799</v>
      </c>
      <c r="N42" s="3663">
        <f>VLOOKUP(N$5,'Debt Service 2000-2032'!$A$5:$O$21,15,0)</f>
        <v>25273722</v>
      </c>
      <c r="O42" s="3663">
        <f>VLOOKUP(O$5,'Debt Service 2000-2032'!$A$5:$O$21,15,0)</f>
        <v>1489772</v>
      </c>
      <c r="P42" s="3663">
        <f>VLOOKUP(P$5,'Debt Service 2000-2032'!$A$5:$O$21,15,0)</f>
        <v>0</v>
      </c>
      <c r="Q42" s="3663">
        <f>VLOOKUP(Q$5,'Debt Service 2000-2032'!$A$5:$O$21,15,0)</f>
        <v>5420037</v>
      </c>
      <c r="R42" s="3664">
        <f t="shared" si="0"/>
        <v>148247085</v>
      </c>
      <c r="V42" s="3652"/>
    </row>
    <row r="43" spans="1:26" ht="21">
      <c r="A43" s="3662">
        <v>2014</v>
      </c>
      <c r="B43" s="3663">
        <f>'Capital Projects and FR'!E18</f>
        <v>11064580</v>
      </c>
      <c r="C43" s="3663">
        <f>'Capital Projects and FR'!E19</f>
        <v>15570427.531983994</v>
      </c>
      <c r="D43" s="3663">
        <f>'Capital Projects and FR'!E17</f>
        <v>8531279.744701175</v>
      </c>
      <c r="E43" s="3663">
        <f>'Capital Projects and FR'!E20</f>
        <v>4786137</v>
      </c>
      <c r="F43" s="3663">
        <f>'Capital Projects and FR'!E21</f>
        <v>33874413.471050933</v>
      </c>
      <c r="G43" s="3663">
        <f>'Capital Projects and FR'!E5</f>
        <v>17457668.475272149</v>
      </c>
      <c r="H43" s="3663">
        <f>'Capital Projects and FR'!E6</f>
        <v>1400666</v>
      </c>
      <c r="I43" s="3663">
        <f>'Capital Projects and FR'!E7</f>
        <v>1795518</v>
      </c>
      <c r="J43" s="3663">
        <f>'Capital Projects and FR'!E8</f>
        <v>6587505.4470117483</v>
      </c>
      <c r="K43" s="3663">
        <f>'Capital Projects and FR'!E9</f>
        <v>4227071</v>
      </c>
      <c r="L43" s="3663">
        <f>'Capital Projects and FR'!E10</f>
        <v>2969040</v>
      </c>
      <c r="M43" s="3663">
        <f>'Capital Projects and FR'!E12</f>
        <v>15188015.64852</v>
      </c>
      <c r="N43" s="3663">
        <f>'Capital Projects and FR'!E13</f>
        <v>21336918</v>
      </c>
      <c r="O43" s="3663">
        <f>'Capital Projects and FR'!E14</f>
        <v>1474082</v>
      </c>
      <c r="P43" s="3663">
        <f>'Capital Projects and FR'!E15</f>
        <v>2024536.922092854</v>
      </c>
      <c r="Q43" s="3663">
        <f>'Capital Projects and FR'!E16</f>
        <v>5310403</v>
      </c>
      <c r="R43" s="3664">
        <f t="shared" si="0"/>
        <v>153598262.24063286</v>
      </c>
      <c r="V43" s="3652"/>
    </row>
    <row r="44" spans="1:26" ht="21">
      <c r="A44" s="3662">
        <v>2015</v>
      </c>
      <c r="B44" s="3663">
        <f>'Capital Projects and FR'!F18</f>
        <v>10738142</v>
      </c>
      <c r="C44" s="3663">
        <f>'Capital Projects and FR'!F19</f>
        <v>14804006.531983994</v>
      </c>
      <c r="D44" s="3663">
        <f>'Capital Projects and FR'!F17</f>
        <v>8533540.744701175</v>
      </c>
      <c r="E44" s="3663">
        <f>'Capital Projects and FR'!F20</f>
        <v>4789687</v>
      </c>
      <c r="F44" s="3663">
        <f>'Capital Projects and FR'!F21</f>
        <v>33409028.471050933</v>
      </c>
      <c r="G44" s="3663">
        <f>'Capital Projects and FR'!F5</f>
        <v>17680535.475272149</v>
      </c>
      <c r="H44" s="3663">
        <f>'Capital Projects and FR'!F6</f>
        <v>1246022</v>
      </c>
      <c r="I44" s="3663">
        <f>'Capital Projects and FR'!F7</f>
        <v>1577593</v>
      </c>
      <c r="J44" s="3663">
        <f>'Capital Projects and FR'!F8</f>
        <v>7034200.4470117483</v>
      </c>
      <c r="K44" s="3663">
        <f>'Capital Projects and FR'!F9</f>
        <v>3863236</v>
      </c>
      <c r="L44" s="3663">
        <f>'Capital Projects and FR'!F10</f>
        <v>2491336</v>
      </c>
      <c r="M44" s="3663">
        <f>'Capital Projects and FR'!F12</f>
        <v>15530878.916280001</v>
      </c>
      <c r="N44" s="3663">
        <f>'Capital Projects and FR'!F13</f>
        <v>20821980</v>
      </c>
      <c r="O44" s="3663">
        <f>'Capital Projects and FR'!F14</f>
        <v>1478484</v>
      </c>
      <c r="P44" s="3663">
        <f>'Capital Projects and FR'!F15</f>
        <v>2024536.922092854</v>
      </c>
      <c r="Q44" s="3663">
        <f>'Capital Projects and FR'!F16</f>
        <v>5312223</v>
      </c>
      <c r="R44" s="3664">
        <f t="shared" si="0"/>
        <v>151335430.50839287</v>
      </c>
      <c r="V44" s="3652"/>
    </row>
    <row r="45" spans="1:26" ht="21">
      <c r="A45" s="3662" t="s">
        <v>418</v>
      </c>
      <c r="B45" s="3666">
        <f t="shared" ref="B45:R45" si="1">B44/B42-1</f>
        <v>-0.1150453811386013</v>
      </c>
      <c r="C45" s="3666">
        <f t="shared" si="1"/>
        <v>8.5512581769493501E-3</v>
      </c>
      <c r="D45" s="3666">
        <f t="shared" si="1"/>
        <v>-4.1914860482297867E-2</v>
      </c>
      <c r="E45" s="3666">
        <f t="shared" si="1"/>
        <v>-1.6388571207955782E-2</v>
      </c>
      <c r="F45" s="3666">
        <f t="shared" si="1"/>
        <v>8.450846985009397E-2</v>
      </c>
      <c r="G45" s="3666">
        <f t="shared" si="1"/>
        <v>0.12843848025079607</v>
      </c>
      <c r="H45" s="3666">
        <f t="shared" si="1"/>
        <v>-0.10951487284011141</v>
      </c>
      <c r="I45" s="3666">
        <f t="shared" si="1"/>
        <v>-0.13226237078897041</v>
      </c>
      <c r="J45" s="3666">
        <f t="shared" si="1"/>
        <v>1.5105816706391124</v>
      </c>
      <c r="K45" s="3666">
        <f t="shared" si="1"/>
        <v>-9.3958056784228416E-2</v>
      </c>
      <c r="L45" s="3666">
        <f t="shared" si="1"/>
        <v>-0.18396155342807841</v>
      </c>
      <c r="M45" s="3666">
        <f t="shared" si="1"/>
        <v>-8.5491096132160882E-3</v>
      </c>
      <c r="N45" s="3666">
        <f t="shared" si="1"/>
        <v>-0.17614113188393854</v>
      </c>
      <c r="O45" s="3666">
        <f t="shared" si="1"/>
        <v>-7.5769983594805579E-3</v>
      </c>
      <c r="P45" s="3666" t="e">
        <f t="shared" si="1"/>
        <v>#DIV/0!</v>
      </c>
      <c r="Q45" s="3666">
        <f t="shared" si="1"/>
        <v>-1.9891746126456278E-2</v>
      </c>
      <c r="R45" s="3667">
        <f t="shared" si="1"/>
        <v>2.0832419796941615E-2</v>
      </c>
      <c r="S45" s="3659"/>
      <c r="T45" s="3659"/>
      <c r="U45" s="3659"/>
      <c r="V45" s="3652"/>
      <c r="W45" s="3659"/>
      <c r="X45" s="3659"/>
      <c r="Y45" s="3659"/>
      <c r="Z45" s="3659"/>
    </row>
    <row r="46" spans="1:26" ht="21">
      <c r="A46" s="3662" t="s">
        <v>419</v>
      </c>
      <c r="B46" s="3666">
        <f t="shared" ref="B46:R46" si="2">B44/B40-1</f>
        <v>-3.4297976378294792E-2</v>
      </c>
      <c r="C46" s="3666">
        <f t="shared" si="2"/>
        <v>3.5465701052006748E-2</v>
      </c>
      <c r="D46" s="3666">
        <f t="shared" si="2"/>
        <v>-9.745954666623502E-2</v>
      </c>
      <c r="E46" s="3666">
        <f t="shared" si="2"/>
        <v>-9.3319428727410503E-2</v>
      </c>
      <c r="F46" s="3666">
        <f t="shared" si="2"/>
        <v>7.1524512006007734E-2</v>
      </c>
      <c r="G46" s="3666">
        <f t="shared" si="2"/>
        <v>-0.55217017698539139</v>
      </c>
      <c r="H46" s="3666">
        <f t="shared" si="2"/>
        <v>-0.11035984095285489</v>
      </c>
      <c r="I46" s="3666">
        <f t="shared" si="2"/>
        <v>1.5487933302950951E-2</v>
      </c>
      <c r="J46" s="3666">
        <f t="shared" si="2"/>
        <v>1.4432179698916001</v>
      </c>
      <c r="K46" s="3666">
        <f t="shared" si="2"/>
        <v>-7.5434038414409987E-2</v>
      </c>
      <c r="L46" s="3666">
        <f t="shared" si="2"/>
        <v>-0.33160825131145133</v>
      </c>
      <c r="M46" s="3666">
        <f t="shared" si="2"/>
        <v>0.15276619775167655</v>
      </c>
      <c r="N46" s="3666">
        <f t="shared" si="2"/>
        <v>-0.24597722560779978</v>
      </c>
      <c r="O46" s="3666">
        <f t="shared" si="2"/>
        <v>-8.9420735958128938E-3</v>
      </c>
      <c r="P46" s="3666" t="e">
        <f t="shared" si="2"/>
        <v>#DIV/0!</v>
      </c>
      <c r="Q46" s="3666">
        <f t="shared" si="2"/>
        <v>-0.11176375379098091</v>
      </c>
      <c r="R46" s="3667">
        <f t="shared" si="2"/>
        <v>-0.12579612917599114</v>
      </c>
      <c r="S46" s="3659"/>
      <c r="T46" s="3659"/>
      <c r="U46" s="3659"/>
      <c r="V46" s="3652"/>
      <c r="W46" s="3659"/>
      <c r="X46" s="3659"/>
      <c r="Y46" s="3659"/>
      <c r="Z46" s="3659"/>
    </row>
    <row r="47" spans="1:26" ht="21.6" thickBot="1">
      <c r="A47" s="3668" t="s">
        <v>420</v>
      </c>
      <c r="B47" s="3669">
        <f>B44/B36-1</f>
        <v>0.81953032744843313</v>
      </c>
      <c r="C47" s="3669">
        <f t="shared" ref="C47:R47" si="3">C44/C36-1</f>
        <v>0.36960875520289593</v>
      </c>
      <c r="D47" s="3669">
        <f t="shared" si="3"/>
        <v>0.17176859863285054</v>
      </c>
      <c r="E47" s="3669">
        <f t="shared" si="3"/>
        <v>0.24026515960718053</v>
      </c>
      <c r="F47" s="3669">
        <f t="shared" si="3"/>
        <v>1.5465413571601001</v>
      </c>
      <c r="G47" s="3669">
        <f t="shared" si="3"/>
        <v>-0.28056768508536045</v>
      </c>
      <c r="H47" s="3669">
        <f t="shared" si="3"/>
        <v>-0.38513928619188353</v>
      </c>
      <c r="I47" s="3669">
        <f t="shared" si="3"/>
        <v>-0.34956983435313949</v>
      </c>
      <c r="J47" s="3669">
        <f t="shared" si="3"/>
        <v>0.64301494391198988</v>
      </c>
      <c r="K47" s="3669">
        <f t="shared" si="3"/>
        <v>-0.34663237725032747</v>
      </c>
      <c r="L47" s="3669">
        <f t="shared" si="3"/>
        <v>-0.52110294090792098</v>
      </c>
      <c r="M47" s="3669">
        <f t="shared" si="3"/>
        <v>-5.3212602747442217E-2</v>
      </c>
      <c r="N47" s="3669">
        <f t="shared" si="3"/>
        <v>-4.731949181914441E-3</v>
      </c>
      <c r="O47" s="3669">
        <f t="shared" si="3"/>
        <v>-0.23834163258871854</v>
      </c>
      <c r="P47" s="3669" t="e">
        <f t="shared" si="3"/>
        <v>#DIV/0!</v>
      </c>
      <c r="Q47" s="3669">
        <f t="shared" si="3"/>
        <v>0.63918544049716575</v>
      </c>
      <c r="R47" s="3670">
        <f t="shared" si="3"/>
        <v>0.18318652062015639</v>
      </c>
      <c r="S47" s="3659"/>
      <c r="T47" s="3659"/>
      <c r="U47" s="3659"/>
      <c r="V47" s="3652"/>
      <c r="W47" s="3659"/>
      <c r="X47" s="3659"/>
      <c r="Y47" s="3659"/>
      <c r="Z47" s="3659"/>
    </row>
    <row r="48" spans="1:26" ht="21.6" thickBot="1">
      <c r="A48" s="3650"/>
      <c r="C48" s="3650"/>
      <c r="D48" s="3650"/>
      <c r="E48" s="3650"/>
      <c r="F48" s="3650"/>
      <c r="G48" s="3650"/>
      <c r="H48" s="3650"/>
      <c r="I48" s="3650"/>
      <c r="J48" s="3650"/>
      <c r="K48" s="3650"/>
      <c r="L48" s="3650"/>
      <c r="M48" s="3650"/>
      <c r="N48" s="3650"/>
      <c r="O48" s="3650"/>
      <c r="P48" s="3650"/>
      <c r="Q48" s="3650"/>
      <c r="R48" s="3651"/>
    </row>
    <row r="49" spans="1:27" ht="21.6" hidden="1" thickBot="1">
      <c r="A49" s="4256"/>
      <c r="B49" s="3650"/>
      <c r="C49" s="3673" t="e">
        <f>#REF!/#REF!</f>
        <v>#REF!</v>
      </c>
      <c r="D49" s="3673" t="e">
        <f>#REF!/#REF!</f>
        <v>#REF!</v>
      </c>
      <c r="E49" s="3673"/>
      <c r="F49" s="3673"/>
      <c r="G49" s="3673"/>
      <c r="H49" s="3673"/>
      <c r="I49" s="3673"/>
      <c r="J49" s="3673"/>
      <c r="K49" s="3673"/>
      <c r="L49" s="3673"/>
      <c r="M49" s="3673"/>
      <c r="N49" s="3673"/>
      <c r="O49" s="3673"/>
      <c r="P49" s="3673"/>
      <c r="Q49" s="3673"/>
      <c r="R49" s="3674" t="e">
        <f>#REF!/#REF!</f>
        <v>#REF!</v>
      </c>
      <c r="AA49" s="3675" t="e">
        <f>W29/Z29</f>
        <v>#DIV/0!</v>
      </c>
    </row>
    <row r="50" spans="1:27" ht="21.6" hidden="1" thickBot="1">
      <c r="A50" s="4256"/>
      <c r="B50" s="3650"/>
      <c r="C50" s="3673" t="e">
        <f>C28/#REF!</f>
        <v>#REF!</v>
      </c>
      <c r="D50" s="3673" t="e">
        <f>D28/#REF!</f>
        <v>#REF!</v>
      </c>
      <c r="E50" s="3673"/>
      <c r="F50" s="3673"/>
      <c r="G50" s="3673"/>
      <c r="H50" s="3673"/>
      <c r="I50" s="3673"/>
      <c r="J50" s="3673"/>
      <c r="K50" s="3673"/>
      <c r="L50" s="3673"/>
      <c r="M50" s="3673"/>
      <c r="N50" s="3673"/>
      <c r="O50" s="3673"/>
      <c r="P50" s="3673"/>
      <c r="Q50" s="3673"/>
      <c r="R50" s="3674" t="e">
        <f>B28/#REF!</f>
        <v>#REF!</v>
      </c>
      <c r="AA50" s="3675" t="e">
        <f t="shared" ref="AA50:AA59" si="4">W30/Z30</f>
        <v>#DIV/0!</v>
      </c>
    </row>
    <row r="51" spans="1:27" ht="21.6" hidden="1" thickBot="1">
      <c r="A51" s="4256"/>
      <c r="B51" s="3650"/>
      <c r="C51" s="3673" t="e">
        <f>C29/#REF!</f>
        <v>#REF!</v>
      </c>
      <c r="D51" s="3673" t="e">
        <f>D29/#REF!</f>
        <v>#REF!</v>
      </c>
      <c r="E51" s="3673"/>
      <c r="F51" s="3673"/>
      <c r="G51" s="3673"/>
      <c r="H51" s="3673"/>
      <c r="I51" s="3673"/>
      <c r="J51" s="3673"/>
      <c r="K51" s="3673"/>
      <c r="L51" s="3673"/>
      <c r="M51" s="3673"/>
      <c r="N51" s="3673"/>
      <c r="O51" s="3673"/>
      <c r="P51" s="3673"/>
      <c r="Q51" s="3673"/>
      <c r="R51" s="3674" t="e">
        <f>B29/#REF!</f>
        <v>#REF!</v>
      </c>
      <c r="AA51" s="3675" t="e">
        <f t="shared" si="4"/>
        <v>#DIV/0!</v>
      </c>
    </row>
    <row r="52" spans="1:27" ht="21.6" hidden="1" thickBot="1">
      <c r="A52" s="4256"/>
      <c r="B52" s="3650"/>
      <c r="C52" s="3673" t="e">
        <f>C30/#REF!</f>
        <v>#REF!</v>
      </c>
      <c r="D52" s="3673" t="e">
        <f>D30/#REF!</f>
        <v>#REF!</v>
      </c>
      <c r="E52" s="3673"/>
      <c r="F52" s="3673"/>
      <c r="G52" s="3673"/>
      <c r="H52" s="3673"/>
      <c r="I52" s="3673"/>
      <c r="J52" s="3673"/>
      <c r="K52" s="3673"/>
      <c r="L52" s="3673"/>
      <c r="M52" s="3673"/>
      <c r="N52" s="3673"/>
      <c r="O52" s="3673"/>
      <c r="P52" s="3673"/>
      <c r="Q52" s="3673"/>
      <c r="R52" s="3674" t="e">
        <f>B30/#REF!</f>
        <v>#REF!</v>
      </c>
      <c r="AA52" s="3675" t="e">
        <f t="shared" si="4"/>
        <v>#DIV/0!</v>
      </c>
    </row>
    <row r="53" spans="1:27" ht="21.6" hidden="1" thickBot="1">
      <c r="A53" s="4256"/>
      <c r="B53" s="3650"/>
      <c r="C53" s="3673" t="e">
        <f>C31/#REF!</f>
        <v>#REF!</v>
      </c>
      <c r="D53" s="3673" t="e">
        <f>D31/#REF!</f>
        <v>#REF!</v>
      </c>
      <c r="E53" s="3673"/>
      <c r="F53" s="3673"/>
      <c r="G53" s="3673"/>
      <c r="H53" s="3673"/>
      <c r="I53" s="3673"/>
      <c r="J53" s="3673"/>
      <c r="K53" s="3673"/>
      <c r="L53" s="3673"/>
      <c r="M53" s="3673"/>
      <c r="N53" s="3673"/>
      <c r="O53" s="3673"/>
      <c r="P53" s="3673"/>
      <c r="Q53" s="3673"/>
      <c r="R53" s="3674" t="e">
        <f>B31/#REF!</f>
        <v>#REF!</v>
      </c>
      <c r="AA53" s="3675" t="e">
        <f t="shared" si="4"/>
        <v>#DIV/0!</v>
      </c>
    </row>
    <row r="54" spans="1:27" ht="21.6" hidden="1" thickBot="1">
      <c r="A54" s="4256"/>
      <c r="B54" s="3650"/>
      <c r="C54" s="3673" t="e">
        <f>C32/#REF!</f>
        <v>#REF!</v>
      </c>
      <c r="D54" s="3673" t="e">
        <f>D32/#REF!</f>
        <v>#REF!</v>
      </c>
      <c r="E54" s="3673"/>
      <c r="F54" s="3673"/>
      <c r="G54" s="3673"/>
      <c r="H54" s="3673"/>
      <c r="I54" s="3673"/>
      <c r="J54" s="3673"/>
      <c r="K54" s="3673"/>
      <c r="L54" s="3673"/>
      <c r="M54" s="3673"/>
      <c r="N54" s="3673"/>
      <c r="O54" s="3673"/>
      <c r="P54" s="3673"/>
      <c r="Q54" s="3673"/>
      <c r="R54" s="3674" t="e">
        <f>B32/#REF!</f>
        <v>#REF!</v>
      </c>
      <c r="AA54" s="3675" t="e">
        <f t="shared" si="4"/>
        <v>#DIV/0!</v>
      </c>
    </row>
    <row r="55" spans="1:27" ht="21.6" hidden="1" thickBot="1">
      <c r="A55" s="4256"/>
      <c r="B55" s="3650"/>
      <c r="C55" s="3673" t="e">
        <f>C33/#REF!</f>
        <v>#REF!</v>
      </c>
      <c r="D55" s="3673" t="e">
        <f>D33/#REF!</f>
        <v>#REF!</v>
      </c>
      <c r="E55" s="3673"/>
      <c r="F55" s="3673"/>
      <c r="G55" s="3673"/>
      <c r="H55" s="3673"/>
      <c r="I55" s="3673"/>
      <c r="J55" s="3673"/>
      <c r="K55" s="3673"/>
      <c r="L55" s="3673"/>
      <c r="M55" s="3673"/>
      <c r="N55" s="3673"/>
      <c r="O55" s="3673"/>
      <c r="P55" s="3673"/>
      <c r="Q55" s="3673"/>
      <c r="R55" s="3674" t="e">
        <f>B33/#REF!</f>
        <v>#REF!</v>
      </c>
      <c r="AA55" s="3675" t="e">
        <f t="shared" si="4"/>
        <v>#DIV/0!</v>
      </c>
    </row>
    <row r="56" spans="1:27" ht="21.6" hidden="1" thickBot="1">
      <c r="A56" s="4256"/>
      <c r="B56" s="3650"/>
      <c r="C56" s="3673" t="e">
        <f>C34/#REF!</f>
        <v>#REF!</v>
      </c>
      <c r="D56" s="3673" t="e">
        <f>D34/#REF!</f>
        <v>#REF!</v>
      </c>
      <c r="E56" s="3673"/>
      <c r="F56" s="3673"/>
      <c r="G56" s="3673"/>
      <c r="H56" s="3673"/>
      <c r="I56" s="3673"/>
      <c r="J56" s="3673"/>
      <c r="K56" s="3673"/>
      <c r="L56" s="3673"/>
      <c r="M56" s="3673"/>
      <c r="N56" s="3673"/>
      <c r="O56" s="3673"/>
      <c r="P56" s="3673"/>
      <c r="Q56" s="3673"/>
      <c r="R56" s="3674" t="e">
        <f>B34/#REF!</f>
        <v>#REF!</v>
      </c>
      <c r="AA56" s="3675" t="e">
        <f t="shared" si="4"/>
        <v>#DIV/0!</v>
      </c>
    </row>
    <row r="57" spans="1:27" ht="21.6" hidden="1" thickBot="1">
      <c r="A57" s="4256"/>
      <c r="B57" s="3650"/>
      <c r="C57" s="3673" t="e">
        <f>C35/#REF!</f>
        <v>#REF!</v>
      </c>
      <c r="D57" s="3673" t="e">
        <f>D35/#REF!</f>
        <v>#REF!</v>
      </c>
      <c r="E57" s="3673"/>
      <c r="F57" s="3673"/>
      <c r="G57" s="3673"/>
      <c r="H57" s="3673"/>
      <c r="I57" s="3673"/>
      <c r="J57" s="3673"/>
      <c r="K57" s="3673"/>
      <c r="L57" s="3673"/>
      <c r="M57" s="3673"/>
      <c r="N57" s="3673"/>
      <c r="O57" s="3673"/>
      <c r="P57" s="3673"/>
      <c r="Q57" s="3673"/>
      <c r="R57" s="3674" t="e">
        <f>B35/#REF!</f>
        <v>#REF!</v>
      </c>
      <c r="AA57" s="3675" t="e">
        <f t="shared" si="4"/>
        <v>#DIV/0!</v>
      </c>
    </row>
    <row r="58" spans="1:27" ht="21.6" hidden="1" thickBot="1">
      <c r="A58" s="4256"/>
      <c r="B58" s="3650"/>
      <c r="C58" s="3673" t="e">
        <f>C36/#REF!</f>
        <v>#REF!</v>
      </c>
      <c r="D58" s="3673" t="e">
        <f>D36/#REF!</f>
        <v>#REF!</v>
      </c>
      <c r="E58" s="3673"/>
      <c r="F58" s="3673"/>
      <c r="G58" s="3673"/>
      <c r="H58" s="3673"/>
      <c r="I58" s="3673"/>
      <c r="J58" s="3673"/>
      <c r="K58" s="3673"/>
      <c r="L58" s="3673"/>
      <c r="M58" s="3673"/>
      <c r="N58" s="3673"/>
      <c r="O58" s="3673"/>
      <c r="P58" s="3673"/>
      <c r="Q58" s="3673"/>
      <c r="R58" s="3674" t="e">
        <f>B36/#REF!</f>
        <v>#REF!</v>
      </c>
      <c r="AA58" s="3675" t="e">
        <f t="shared" si="4"/>
        <v>#DIV/0!</v>
      </c>
    </row>
    <row r="59" spans="1:27" ht="21.6" hidden="1" thickBot="1">
      <c r="A59" s="4256"/>
      <c r="B59" s="3650"/>
      <c r="C59" s="3673" t="e">
        <f>C37/#REF!</f>
        <v>#REF!</v>
      </c>
      <c r="D59" s="3673" t="e">
        <f>D37/#REF!</f>
        <v>#REF!</v>
      </c>
      <c r="E59" s="3673"/>
      <c r="F59" s="3673"/>
      <c r="G59" s="3673"/>
      <c r="H59" s="3673"/>
      <c r="I59" s="3673"/>
      <c r="J59" s="3673"/>
      <c r="K59" s="3673"/>
      <c r="L59" s="3673"/>
      <c r="M59" s="3673"/>
      <c r="N59" s="3673"/>
      <c r="O59" s="3673"/>
      <c r="P59" s="3673"/>
      <c r="Q59" s="3673"/>
      <c r="R59" s="3674" t="e">
        <f>B37/#REF!</f>
        <v>#REF!</v>
      </c>
      <c r="AA59" s="3675" t="e">
        <f t="shared" si="4"/>
        <v>#DIV/0!</v>
      </c>
    </row>
    <row r="60" spans="1:27" ht="21.6" hidden="1" thickBot="1">
      <c r="A60" s="4256"/>
      <c r="B60" s="3650"/>
      <c r="C60" s="3673" t="e">
        <f>C38/#REF!</f>
        <v>#REF!</v>
      </c>
      <c r="D60" s="3673" t="e">
        <f>D38/#REF!</f>
        <v>#REF!</v>
      </c>
      <c r="E60" s="3673"/>
      <c r="F60" s="3673"/>
      <c r="G60" s="3673"/>
      <c r="H60" s="3673"/>
      <c r="I60" s="3673"/>
      <c r="J60" s="3673"/>
      <c r="K60" s="3673"/>
      <c r="L60" s="3673"/>
      <c r="M60" s="3673"/>
      <c r="N60" s="3673"/>
      <c r="O60" s="3673"/>
      <c r="P60" s="3673"/>
      <c r="Q60" s="3673"/>
      <c r="R60" s="3674" t="e">
        <f>B38/#REF!</f>
        <v>#REF!</v>
      </c>
      <c r="AA60" s="3675"/>
    </row>
    <row r="61" spans="1:27" ht="21.6" hidden="1" thickBot="1">
      <c r="A61" s="4256"/>
      <c r="B61" s="3650"/>
      <c r="C61" s="3673" t="e">
        <f>C39/#REF!</f>
        <v>#REF!</v>
      </c>
      <c r="D61" s="3673" t="e">
        <f>D39/#REF!</f>
        <v>#REF!</v>
      </c>
      <c r="E61" s="3673"/>
      <c r="F61" s="3673"/>
      <c r="G61" s="3673"/>
      <c r="H61" s="3673"/>
      <c r="I61" s="3673"/>
      <c r="J61" s="3673"/>
      <c r="K61" s="3673"/>
      <c r="L61" s="3673"/>
      <c r="M61" s="3673"/>
      <c r="N61" s="3673"/>
      <c r="O61" s="3673"/>
      <c r="P61" s="3673"/>
      <c r="Q61" s="3673"/>
      <c r="R61" s="3674" t="e">
        <f>B39/#REF!</f>
        <v>#REF!</v>
      </c>
      <c r="AA61" s="3675"/>
    </row>
    <row r="62" spans="1:27" ht="21.6" hidden="1" thickBot="1">
      <c r="A62" s="4256"/>
      <c r="B62" s="3650"/>
      <c r="C62" s="3673" t="e">
        <f>C40/#REF!</f>
        <v>#REF!</v>
      </c>
      <c r="D62" s="3673" t="e">
        <f>D40/#REF!</f>
        <v>#REF!</v>
      </c>
      <c r="E62" s="3673"/>
      <c r="F62" s="3673"/>
      <c r="G62" s="3673"/>
      <c r="H62" s="3673"/>
      <c r="I62" s="3673"/>
      <c r="J62" s="3673"/>
      <c r="K62" s="3673"/>
      <c r="L62" s="3673"/>
      <c r="M62" s="3673"/>
      <c r="N62" s="3673"/>
      <c r="O62" s="3673"/>
      <c r="P62" s="3673"/>
      <c r="Q62" s="3673"/>
      <c r="R62" s="3674" t="e">
        <f>B40/#REF!</f>
        <v>#REF!</v>
      </c>
      <c r="AA62" s="3675"/>
    </row>
    <row r="63" spans="1:27" ht="21.6" hidden="1" thickBot="1">
      <c r="A63" s="4256"/>
      <c r="B63" s="3650"/>
      <c r="C63" s="3673" t="e">
        <f>C41/#REF!</f>
        <v>#REF!</v>
      </c>
      <c r="D63" s="3673" t="e">
        <f>D41/#REF!</f>
        <v>#REF!</v>
      </c>
      <c r="E63" s="3673"/>
      <c r="F63" s="3673"/>
      <c r="G63" s="3673"/>
      <c r="H63" s="3673"/>
      <c r="I63" s="3673"/>
      <c r="J63" s="3673"/>
      <c r="K63" s="3673"/>
      <c r="L63" s="3673"/>
      <c r="M63" s="3673"/>
      <c r="N63" s="3673"/>
      <c r="O63" s="3673"/>
      <c r="P63" s="3673"/>
      <c r="Q63" s="3673"/>
      <c r="R63" s="3674" t="e">
        <f>B41/#REF!</f>
        <v>#REF!</v>
      </c>
      <c r="AA63" s="3675"/>
    </row>
    <row r="64" spans="1:27" ht="21.6" hidden="1" thickBot="1">
      <c r="A64" s="4256"/>
      <c r="B64" s="3650"/>
      <c r="C64" s="3673" t="e">
        <f>C42/#REF!</f>
        <v>#REF!</v>
      </c>
      <c r="D64" s="3673" t="e">
        <f>D42/#REF!</f>
        <v>#REF!</v>
      </c>
      <c r="E64" s="3673"/>
      <c r="F64" s="3673"/>
      <c r="G64" s="3673"/>
      <c r="H64" s="3673"/>
      <c r="I64" s="3673"/>
      <c r="J64" s="3673"/>
      <c r="K64" s="3673"/>
      <c r="L64" s="3673"/>
      <c r="M64" s="3673"/>
      <c r="N64" s="3673"/>
      <c r="O64" s="3673"/>
      <c r="P64" s="3673"/>
      <c r="Q64" s="3673"/>
      <c r="R64" s="3674" t="e">
        <f>B42/#REF!</f>
        <v>#REF!</v>
      </c>
      <c r="AA64" s="3675"/>
    </row>
    <row r="65" spans="1:27" ht="21.6" hidden="1" thickBot="1">
      <c r="A65" s="4256"/>
      <c r="B65" s="3650"/>
      <c r="C65" s="3673" t="e">
        <f>(C64-C49)/C49</f>
        <v>#REF!</v>
      </c>
      <c r="D65" s="3673" t="e">
        <f>(D64-D49)/D49</f>
        <v>#REF!</v>
      </c>
      <c r="E65" s="3673"/>
      <c r="F65" s="3673"/>
      <c r="G65" s="3673"/>
      <c r="H65" s="3673"/>
      <c r="I65" s="3673"/>
      <c r="J65" s="3673"/>
      <c r="K65" s="3673"/>
      <c r="L65" s="3673"/>
      <c r="M65" s="3673"/>
      <c r="N65" s="3673"/>
      <c r="O65" s="3673"/>
      <c r="P65" s="3673"/>
      <c r="Q65" s="3673"/>
      <c r="R65" s="3674"/>
      <c r="AA65" s="3675"/>
    </row>
    <row r="66" spans="1:27" ht="22.2" thickTop="1" thickBot="1">
      <c r="A66" s="4505" t="s">
        <v>421</v>
      </c>
      <c r="B66" s="4505"/>
      <c r="C66" s="4505"/>
      <c r="D66" s="4505"/>
      <c r="E66" s="4505"/>
      <c r="F66" s="4505"/>
      <c r="G66" s="4505"/>
      <c r="H66" s="4505"/>
      <c r="I66" s="4505"/>
      <c r="J66" s="4505"/>
      <c r="K66" s="4505"/>
      <c r="L66" s="4505"/>
      <c r="M66" s="4505"/>
      <c r="N66" s="4505"/>
      <c r="O66" s="4505"/>
      <c r="P66" s="4505"/>
      <c r="Q66" s="4505"/>
      <c r="R66" s="4505"/>
    </row>
    <row r="67" spans="1:27" ht="21.6" thickBot="1">
      <c r="A67" s="3713"/>
      <c r="B67" s="3685" t="s">
        <v>277</v>
      </c>
      <c r="C67" s="3685" t="s">
        <v>276</v>
      </c>
      <c r="D67" s="3685" t="s">
        <v>275</v>
      </c>
      <c r="E67" s="3685" t="s">
        <v>278</v>
      </c>
      <c r="F67" s="3685" t="s">
        <v>279</v>
      </c>
      <c r="G67" s="3685" t="s">
        <v>263</v>
      </c>
      <c r="H67" s="3685" t="s">
        <v>265</v>
      </c>
      <c r="I67" s="3685" t="s">
        <v>264</v>
      </c>
      <c r="J67" s="3685" t="s">
        <v>266</v>
      </c>
      <c r="K67" s="3685" t="s">
        <v>267</v>
      </c>
      <c r="L67" s="3685" t="s">
        <v>268</v>
      </c>
      <c r="M67" s="3685" t="s">
        <v>485</v>
      </c>
      <c r="N67" s="3685" t="s">
        <v>270</v>
      </c>
      <c r="O67" s="3685" t="s">
        <v>271</v>
      </c>
      <c r="P67" s="3685" t="s">
        <v>273</v>
      </c>
      <c r="Q67" s="3685" t="s">
        <v>272</v>
      </c>
      <c r="R67" s="3677" t="s">
        <v>417</v>
      </c>
    </row>
    <row r="68" spans="1:27" ht="21" hidden="1">
      <c r="A68" s="3662">
        <v>1999</v>
      </c>
      <c r="B68" s="3678">
        <v>5922.8301999999821</v>
      </c>
      <c r="C68" s="3678">
        <v>15844.160599999857</v>
      </c>
      <c r="D68" s="3678">
        <v>848.33040000000028</v>
      </c>
      <c r="E68" s="3678">
        <v>6336.7530000002098</v>
      </c>
      <c r="F68" s="3678">
        <v>22568.687999999966</v>
      </c>
      <c r="G68" s="3678">
        <v>21858.488999999867</v>
      </c>
      <c r="H68" s="3678">
        <v>1370.4776000000056</v>
      </c>
      <c r="I68" s="3678">
        <v>1613.8898999999985</v>
      </c>
      <c r="J68" s="3678">
        <v>3274.0180999999811</v>
      </c>
      <c r="K68" s="3678">
        <v>4369.4162999999635</v>
      </c>
      <c r="L68" s="3678">
        <v>3509.5335999999807</v>
      </c>
      <c r="M68" s="3678">
        <v>19944.214700000433</v>
      </c>
      <c r="N68" s="3678">
        <v>24519.75229999928</v>
      </c>
      <c r="O68" s="3678">
        <v>5626.8470999999799</v>
      </c>
      <c r="P68" s="3678">
        <v>2134.3144999999899</v>
      </c>
      <c r="Q68" s="3678">
        <v>6676.2</v>
      </c>
      <c r="R68" s="3679">
        <f>SUM(B68:Q68)</f>
        <v>146417.9152999995</v>
      </c>
    </row>
    <row r="69" spans="1:27" ht="21" hidden="1">
      <c r="A69" s="3662">
        <v>2000</v>
      </c>
      <c r="B69" s="3680">
        <v>6243.4014999999563</v>
      </c>
      <c r="C69" s="3680">
        <v>15542.323699999895</v>
      </c>
      <c r="D69" s="3680">
        <v>8558.7947999999651</v>
      </c>
      <c r="E69" s="3680">
        <v>6310.8568000000578</v>
      </c>
      <c r="F69" s="3680">
        <v>23845.144199999897</v>
      </c>
      <c r="G69" s="3680">
        <v>21987.909299999839</v>
      </c>
      <c r="H69" s="3680">
        <v>1356.7914000000005</v>
      </c>
      <c r="I69" s="3680">
        <v>1576.0335999999988</v>
      </c>
      <c r="J69" s="3680">
        <v>3208.7362999999896</v>
      </c>
      <c r="K69" s="3680">
        <v>4223.4837999999745</v>
      </c>
      <c r="L69" s="3680">
        <v>3520.3975999999871</v>
      </c>
      <c r="M69" s="3680">
        <v>19836.723500000189</v>
      </c>
      <c r="N69" s="3680">
        <v>24598.300299999988</v>
      </c>
      <c r="O69" s="3680">
        <v>5654.071399999988</v>
      </c>
      <c r="P69" s="3680">
        <v>2141.8592999999923</v>
      </c>
      <c r="Q69" s="3680">
        <v>6691.6682999999994</v>
      </c>
      <c r="R69" s="3679">
        <f>SUM(B69:Q69)</f>
        <v>155296.49579999971</v>
      </c>
    </row>
    <row r="70" spans="1:27" ht="21" hidden="1">
      <c r="A70" s="3662">
        <v>2001</v>
      </c>
      <c r="B70" s="3680">
        <v>6409.3510999999526</v>
      </c>
      <c r="C70" s="3680">
        <v>16023.909899999864</v>
      </c>
      <c r="D70" s="3680">
        <v>8732.8924999998508</v>
      </c>
      <c r="E70" s="3680">
        <v>5867.4220000001014</v>
      </c>
      <c r="F70" s="3680">
        <v>26802.110399999932</v>
      </c>
      <c r="G70" s="3680">
        <v>22270.02979999968</v>
      </c>
      <c r="H70" s="3680">
        <v>1412.1656999999998</v>
      </c>
      <c r="I70" s="3680">
        <v>1639.2732999999932</v>
      </c>
      <c r="J70" s="3680">
        <v>3098.6086999999793</v>
      </c>
      <c r="K70" s="3680">
        <v>4324.2166999999754</v>
      </c>
      <c r="L70" s="3680">
        <v>3540.6359999999759</v>
      </c>
      <c r="M70" s="3680">
        <v>20220.816400000356</v>
      </c>
      <c r="N70" s="3680">
        <v>24373.70949999923</v>
      </c>
      <c r="O70" s="3680">
        <v>5598.5298000000048</v>
      </c>
      <c r="P70" s="3680">
        <v>2242.3428999999946</v>
      </c>
      <c r="Q70" s="3680">
        <v>6809.1281999999819</v>
      </c>
      <c r="R70" s="3679">
        <f t="shared" ref="R70:R84" si="5">SUM(B70:Q70)</f>
        <v>159365.14289999887</v>
      </c>
    </row>
    <row r="71" spans="1:27" ht="21" hidden="1">
      <c r="A71" s="3662">
        <v>2002</v>
      </c>
      <c r="B71" s="3680">
        <v>7244.8</v>
      </c>
      <c r="C71" s="3680">
        <v>17574.8</v>
      </c>
      <c r="D71" s="3680">
        <v>10222.299999999999</v>
      </c>
      <c r="E71" s="3680">
        <v>5814</v>
      </c>
      <c r="F71" s="3680">
        <v>31793.565599999922</v>
      </c>
      <c r="G71" s="3680">
        <v>22654.001000000189</v>
      </c>
      <c r="H71" s="3680">
        <v>1525.525899999999</v>
      </c>
      <c r="I71" s="3680">
        <v>1725.2649000000013</v>
      </c>
      <c r="J71" s="3680">
        <v>3173.10769999997</v>
      </c>
      <c r="K71" s="3680">
        <v>4592.8833999999824</v>
      </c>
      <c r="L71" s="3680">
        <v>3660.423199999972</v>
      </c>
      <c r="M71" s="3680">
        <v>20744.693500000554</v>
      </c>
      <c r="N71" s="3680">
        <v>24186.298899999394</v>
      </c>
      <c r="O71" s="3680">
        <v>5677.1921999999859</v>
      </c>
      <c r="P71" s="3680">
        <v>2335.915400000004</v>
      </c>
      <c r="Q71" s="3680">
        <v>7434.1266999999907</v>
      </c>
      <c r="R71" s="3679">
        <f t="shared" si="5"/>
        <v>170358.89839999992</v>
      </c>
    </row>
    <row r="72" spans="1:27" ht="21" hidden="1">
      <c r="A72" s="3662">
        <v>2003</v>
      </c>
      <c r="B72" s="3680">
        <v>7080.2414999999974</v>
      </c>
      <c r="C72" s="3680">
        <v>17595.97440000005</v>
      </c>
      <c r="D72" s="3680">
        <v>9244.2471999997488</v>
      </c>
      <c r="E72" s="3680">
        <v>6370.5634000000182</v>
      </c>
      <c r="F72" s="3680">
        <v>35917.350900000049</v>
      </c>
      <c r="G72" s="3680">
        <v>22719.180300000055</v>
      </c>
      <c r="H72" s="3680">
        <v>1528.6027000000008</v>
      </c>
      <c r="I72" s="3680">
        <v>1851.6836000000026</v>
      </c>
      <c r="J72" s="3680">
        <v>3571.3737999999898</v>
      </c>
      <c r="K72" s="3680">
        <v>4870.5812999999798</v>
      </c>
      <c r="L72" s="3680">
        <v>3727.176599999992</v>
      </c>
      <c r="M72" s="3680">
        <v>17152.831500000138</v>
      </c>
      <c r="N72" s="3680">
        <v>23686.533000000218</v>
      </c>
      <c r="O72" s="3680">
        <v>5728.0022999999746</v>
      </c>
      <c r="P72" s="3680">
        <v>2491.4615000000026</v>
      </c>
      <c r="Q72" s="3680">
        <v>7865.9661999999871</v>
      </c>
      <c r="R72" s="3679">
        <f t="shared" si="5"/>
        <v>171401.7702000002</v>
      </c>
    </row>
    <row r="73" spans="1:27" ht="21" hidden="1">
      <c r="A73" s="3662">
        <v>2004</v>
      </c>
      <c r="B73" s="3680">
        <v>7362.3982999999971</v>
      </c>
      <c r="C73" s="3680">
        <v>18084.041599999957</v>
      </c>
      <c r="D73" s="3680">
        <v>9033.217399999945</v>
      </c>
      <c r="E73" s="3680">
        <v>6443.5457000000124</v>
      </c>
      <c r="F73" s="3680">
        <v>38612.579799999949</v>
      </c>
      <c r="G73" s="3680">
        <v>22614.501900000039</v>
      </c>
      <c r="H73" s="3680">
        <v>1545.0481999999977</v>
      </c>
      <c r="I73" s="3680">
        <v>1985.775599999999</v>
      </c>
      <c r="J73" s="3680">
        <v>3682.1268999999929</v>
      </c>
      <c r="K73" s="3680">
        <v>4906.1524999999947</v>
      </c>
      <c r="L73" s="3680">
        <v>3592.7423999999896</v>
      </c>
      <c r="M73" s="3680">
        <v>17477.306500000097</v>
      </c>
      <c r="N73" s="3680">
        <v>23359.758099999919</v>
      </c>
      <c r="O73" s="3680">
        <v>5841.8099000000066</v>
      </c>
      <c r="P73" s="3680">
        <v>2433.1177999999977</v>
      </c>
      <c r="Q73" s="3680">
        <v>8076.3783999999841</v>
      </c>
      <c r="R73" s="3679">
        <f t="shared" si="5"/>
        <v>175050.50099999987</v>
      </c>
    </row>
    <row r="74" spans="1:27" ht="21" hidden="1">
      <c r="A74" s="3662">
        <v>2005</v>
      </c>
      <c r="B74" s="3680">
        <v>7527.0535000000036</v>
      </c>
      <c r="C74" s="3680">
        <v>17999.330900000052</v>
      </c>
      <c r="D74" s="3680">
        <v>8689.8603999999941</v>
      </c>
      <c r="E74" s="3680">
        <v>6755.2456999999522</v>
      </c>
      <c r="F74" s="3680">
        <v>39938.602499999964</v>
      </c>
      <c r="G74" s="3680">
        <v>22016.986799999919</v>
      </c>
      <c r="H74" s="3680">
        <v>1514.8827000000003</v>
      </c>
      <c r="I74" s="3680">
        <v>1998.5489999999998</v>
      </c>
      <c r="J74" s="3680">
        <v>3712.4617999999909</v>
      </c>
      <c r="K74" s="3680">
        <v>4965.8771999999944</v>
      </c>
      <c r="L74" s="3680">
        <v>3556.0922999999984</v>
      </c>
      <c r="M74" s="3680">
        <v>18110.061300000136</v>
      </c>
      <c r="N74" s="3680">
        <v>23305.724799999829</v>
      </c>
      <c r="O74" s="3680">
        <v>5867.9997000000058</v>
      </c>
      <c r="P74" s="3680">
        <v>2445.170099999998</v>
      </c>
      <c r="Q74" s="3680">
        <v>8165.387399999976</v>
      </c>
      <c r="R74" s="3679">
        <f t="shared" si="5"/>
        <v>176569.28609999982</v>
      </c>
    </row>
    <row r="75" spans="1:27" ht="21" hidden="1">
      <c r="A75" s="3662">
        <v>2006</v>
      </c>
      <c r="B75" s="3680">
        <v>7575.4695000000193</v>
      </c>
      <c r="C75" s="3680">
        <v>17711.801800000103</v>
      </c>
      <c r="D75" s="3680">
        <v>8128.1376000000309</v>
      </c>
      <c r="E75" s="3680">
        <v>6729.1867999999249</v>
      </c>
      <c r="F75" s="3680">
        <v>40705.506499999923</v>
      </c>
      <c r="G75" s="3680">
        <v>22092.912099999845</v>
      </c>
      <c r="H75" s="3680">
        <v>1446.770199999999</v>
      </c>
      <c r="I75" s="3680">
        <v>2001.4816999999994</v>
      </c>
      <c r="J75" s="3680">
        <v>3613.4083999999998</v>
      </c>
      <c r="K75" s="3680">
        <v>4832.4500000000189</v>
      </c>
      <c r="L75" s="3680">
        <v>3368.9255000000026</v>
      </c>
      <c r="M75" s="3680">
        <v>17611.413200000057</v>
      </c>
      <c r="N75" s="3680">
        <v>23429.858599999858</v>
      </c>
      <c r="O75" s="3680">
        <v>5862.390900000024</v>
      </c>
      <c r="P75" s="3680">
        <v>2517.1618000000021</v>
      </c>
      <c r="Q75" s="3680">
        <v>8099.8291999999856</v>
      </c>
      <c r="R75" s="3679">
        <f t="shared" si="5"/>
        <v>175726.70379999978</v>
      </c>
    </row>
    <row r="76" spans="1:27" ht="21">
      <c r="A76" s="3662">
        <v>2007</v>
      </c>
      <c r="B76" s="3680">
        <f>'Student Enrollment BRS VIII '!B637+'Student Enrollment BRS VIII '!B641-'Student Enrollment BRS VIII '!B652</f>
        <v>7707.1</v>
      </c>
      <c r="C76" s="3680">
        <f>'Student Enrollment BRS VIII '!B601+'Student Enrollment BRS VIII '!B605+'Student Enrollment BRS VIII '!B609-'Student Enrollment BRS VIII '!B616</f>
        <v>16076.686000000002</v>
      </c>
      <c r="D76" s="3680">
        <f>'Student Enrollment BRS VIII '!B565+'Student Enrollment BRS VIII '!B569+'Student Enrollment BRS VIII '!B573-'Student Enrollment BRS VIII '!B580</f>
        <v>7807.7</v>
      </c>
      <c r="E76" s="3680">
        <f>'Student Enrollment BRS VIII '!B709-'Student Enrollment BRS VIII '!B724</f>
        <v>5597.3</v>
      </c>
      <c r="F76" s="3680">
        <f>'Student Enrollment BRS VIII '!B673-'Student Enrollment BRS VIII '!B688</f>
        <v>43141.7</v>
      </c>
      <c r="G76" s="3680">
        <f>'Student Enrollment BRS VIII '!B97+'Student Enrollment BRS VIII '!B101+'Student Enrollment BRS VIII '!B105-'Student Enrollment BRS VIII '!B112</f>
        <v>21616</v>
      </c>
      <c r="H76" s="3680">
        <f>'Student Enrollment BRS VIII '!B133+'Student Enrollment BRS VIII '!B137+'Student Enrollment BRS VIII '!B141-'Student Enrollment BRS VIII '!B148</f>
        <v>1380.4</v>
      </c>
      <c r="I76" s="3680">
        <f>'Student Enrollment BRS VIII '!B169+'Student Enrollment BRS VIII '!B173+'Student Enrollment BRS VIII '!B177-'Student Enrollment BRS VIII '!B184</f>
        <v>1902.1</v>
      </c>
      <c r="J76" s="3680">
        <f>'Student Enrollment BRS VIII '!B205+'Student Enrollment BRS VIII '!B209+'Student Enrollment BRS VIII '!B213-'Student Enrollment BRS VIII '!B220</f>
        <v>3612.2000000000003</v>
      </c>
      <c r="K76" s="3680">
        <f>'Student Enrollment BRS VIII '!B241+'Student Enrollment BRS VIII '!B245+'Student Enrollment BRS VIII '!B249-'Student Enrollment BRS VIII '!B256</f>
        <v>4667.2</v>
      </c>
      <c r="L76" s="3680">
        <f>'Student Enrollment BRS VIII '!B277+'Student Enrollment BRS VIII '!B281+'Student Enrollment BRS VIII '!B285-'Student Enrollment BRS VIII '!B292</f>
        <v>3409.3999999999996</v>
      </c>
      <c r="M76" s="3680">
        <f>'Student Enrollment BRS VIII '!B349+'Student Enrollment BRS VIII '!B353+'Student Enrollment BRS VIII '!B357-'Student Enrollment BRS VIII '!B364</f>
        <v>19291.889999999996</v>
      </c>
      <c r="N76" s="3680">
        <f>'Student Enrollment BRS VIII '!B421+'Student Enrollment BRS VIII '!B425+'Student Enrollment BRS VIII '!B429-'Student Enrollment BRS VIII '!B436</f>
        <v>23157.200000000001</v>
      </c>
      <c r="O76" s="3680">
        <f>'Student Enrollment BRS VIII '!B457+'Student Enrollment BRS VIII '!B461+'Student Enrollment BRS VIII '!B465-'Student Enrollment BRS VIII '!B472</f>
        <v>5836.7000000000007</v>
      </c>
      <c r="P76" s="3680">
        <f>'Student Enrollment BRS VIII '!B529+'Student Enrollment BRS VIII '!B533+'Student Enrollment BRS VIII '!B537-'Student Enrollment BRS VIII '!B544</f>
        <v>2625.8999999999996</v>
      </c>
      <c r="Q76" s="3680">
        <f>'Student Enrollment BRS VIII '!B493+'Student Enrollment BRS VIII '!B497+'Student Enrollment BRS VIII '!B501-'Student Enrollment BRS VIII '!B508</f>
        <v>8215.1999999999989</v>
      </c>
      <c r="R76" s="3679">
        <f t="shared" si="5"/>
        <v>176044.67600000001</v>
      </c>
    </row>
    <row r="77" spans="1:27" ht="21">
      <c r="A77" s="3662">
        <v>2008</v>
      </c>
      <c r="B77" s="3680">
        <f>'Student Enrollment BRS VIII '!D637+'Student Enrollment BRS VIII '!D641-'Student Enrollment BRS VIII '!D652</f>
        <v>7663.3</v>
      </c>
      <c r="C77" s="3680">
        <f>'Student Enrollment BRS VIII '!D601+'Student Enrollment BRS VIII '!D605+'Student Enrollment BRS VIII '!D609-'Student Enrollment BRS VIII '!D616</f>
        <v>15775.491000000002</v>
      </c>
      <c r="D77" s="3680">
        <f>'Student Enrollment BRS VIII '!D565+'Student Enrollment BRS VIII '!D569+'Student Enrollment BRS VIII '!D573-'Student Enrollment BRS VIII '!D580</f>
        <v>7652.9000000000005</v>
      </c>
      <c r="E77" s="3680">
        <f>'Student Enrollment BRS VIII '!D709-'Student Enrollment BRS VIII '!D724</f>
        <v>5891.4</v>
      </c>
      <c r="F77" s="3680">
        <f>'Student Enrollment BRS VIII '!D673-'Student Enrollment BRS VIII '!D688</f>
        <v>46529.1</v>
      </c>
      <c r="G77" s="3680">
        <f>'Student Enrollment BRS VIII '!D97+'Student Enrollment BRS VIII '!D101+'Student Enrollment BRS VIII '!D105-'Student Enrollment BRS VIII '!D112</f>
        <v>21304.399999999998</v>
      </c>
      <c r="H77" s="3680">
        <f>'Student Enrollment BRS VIII '!D133+'Student Enrollment BRS VIII '!D137+'Student Enrollment BRS VIII '!D141-'Student Enrollment BRS VIII '!D148</f>
        <v>1401.8</v>
      </c>
      <c r="I77" s="3680">
        <f>'Student Enrollment BRS VIII '!D169+'Student Enrollment BRS VIII '!D173+'Student Enrollment BRS VIII '!D177-'Student Enrollment BRS VIII '!D184</f>
        <v>1897.1</v>
      </c>
      <c r="J77" s="3680">
        <f>'Student Enrollment BRS VIII '!D205+'Student Enrollment BRS VIII '!D209+'Student Enrollment BRS VIII '!D213-'Student Enrollment BRS VIII '!D220</f>
        <v>3541.4</v>
      </c>
      <c r="K77" s="3680">
        <f>'Student Enrollment BRS VIII '!D241+'Student Enrollment BRS VIII '!D245+'Student Enrollment BRS VIII '!D249-'Student Enrollment BRS VIII '!D256</f>
        <v>4666.3</v>
      </c>
      <c r="L77" s="3680">
        <f>'Student Enrollment BRS VIII '!D277+'Student Enrollment BRS VIII '!D281+'Student Enrollment BRS VIII '!D285-'Student Enrollment BRS VIII '!D292</f>
        <v>3315.2</v>
      </c>
      <c r="M77" s="3680">
        <f>'Student Enrollment BRS VIII '!D349+'Student Enrollment BRS VIII '!D353+'Student Enrollment BRS VIII '!D357-'Student Enrollment BRS VIII '!D364</f>
        <v>19542.160000000003</v>
      </c>
      <c r="N77" s="3680">
        <f>'Student Enrollment BRS VIII '!D421+'Student Enrollment BRS VIII '!D425+'Student Enrollment BRS VIII '!D429-'Student Enrollment BRS VIII '!D436</f>
        <v>23203.200000000001</v>
      </c>
      <c r="O77" s="3680">
        <f>'Student Enrollment BRS VIII '!D457+'Student Enrollment BRS VIII '!D461+'Student Enrollment BRS VIII '!D465-'Student Enrollment BRS VIII '!D472</f>
        <v>5858.7000000000007</v>
      </c>
      <c r="P77" s="3680">
        <f>'Student Enrollment BRS VIII '!D529+'Student Enrollment BRS VIII '!D533+'Student Enrollment BRS VIII '!D537-'Student Enrollment BRS VIII '!D544</f>
        <v>2699.5</v>
      </c>
      <c r="Q77" s="3680">
        <f>'Student Enrollment BRS VIII '!D493+'Student Enrollment BRS VIII '!D497+'Student Enrollment BRS VIII '!D501-'Student Enrollment BRS VIII '!D508</f>
        <v>8375.5000000000018</v>
      </c>
      <c r="R77" s="3679">
        <f t="shared" si="5"/>
        <v>179317.451</v>
      </c>
    </row>
    <row r="78" spans="1:27" ht="21">
      <c r="A78" s="3662">
        <v>2009</v>
      </c>
      <c r="B78" s="3680">
        <f>'Student Enrollment BRS VIII '!F637+'Student Enrollment BRS VIII '!F641+'Student Enrollment BRS VIII '!F645-'Student Enrollment BRS VIII '!F652</f>
        <v>7853.7</v>
      </c>
      <c r="C78" s="3680">
        <f>'Student Enrollment BRS VIII '!F601+'Student Enrollment BRS VIII '!F605+'Student Enrollment BRS VIII '!F609-'Student Enrollment BRS VIII '!F616</f>
        <v>16069.326999999999</v>
      </c>
      <c r="D78" s="3680">
        <f>'Student Enrollment BRS VIII '!F565+'Student Enrollment BRS VIII '!F569+'Student Enrollment BRS VIII '!F573-'Student Enrollment BRS VIII '!F580</f>
        <v>7457.4000000000005</v>
      </c>
      <c r="E78" s="3680">
        <f>'Student Enrollment BRS VIII '!F709-'Student Enrollment BRS VIII '!F724</f>
        <v>6130.3</v>
      </c>
      <c r="F78" s="3680">
        <f>'Student Enrollment BRS VIII '!F673-'Student Enrollment BRS VIII '!F688</f>
        <v>51034.600000000006</v>
      </c>
      <c r="G78" s="3680">
        <f>'Student Enrollment BRS VIII '!F97+'Student Enrollment BRS VIII '!F101+'Student Enrollment BRS VIII '!F105-'Student Enrollment BRS VIII '!F112</f>
        <v>21820.3</v>
      </c>
      <c r="H78" s="3680">
        <f>'Student Enrollment BRS VIII '!F133+'Student Enrollment BRS VIII '!F137+'Student Enrollment BRS VIII '!F141-'Student Enrollment BRS VIII '!F148</f>
        <v>1541.1</v>
      </c>
      <c r="I78" s="3680">
        <f>'Student Enrollment BRS VIII '!F169+'Student Enrollment BRS VIII '!F173+'Student Enrollment BRS VIII '!F177-'Student Enrollment BRS VIII '!F184</f>
        <v>1819.8</v>
      </c>
      <c r="J78" s="3680">
        <f>'Student Enrollment BRS VIII '!F205+'Student Enrollment BRS VIII '!F209+'Student Enrollment BRS VIII '!F213-'Student Enrollment BRS VIII '!F220</f>
        <v>3710.5</v>
      </c>
      <c r="K78" s="3680">
        <f>'Student Enrollment BRS VIII '!F241+'Student Enrollment BRS VIII '!F245+'Student Enrollment BRS VIII '!F249-'Student Enrollment BRS VIII '!F256</f>
        <v>4887.4999999999991</v>
      </c>
      <c r="L78" s="3680">
        <f>'Student Enrollment BRS VIII '!F277+'Student Enrollment BRS VIII '!F281+'Student Enrollment BRS VIII '!F285-'Student Enrollment BRS VIII '!F292</f>
        <v>3456.5000000000005</v>
      </c>
      <c r="M78" s="3680">
        <f>'Student Enrollment BRS VIII '!F349+'Student Enrollment BRS VIII '!F353+'Student Enrollment BRS VIII '!F357-'Student Enrollment BRS VIII '!F364</f>
        <v>19965.739999999998</v>
      </c>
      <c r="N78" s="3680">
        <f>'Student Enrollment BRS VIII '!F421+'Student Enrollment BRS VIII '!F425+'Student Enrollment BRS VIII '!F429-'Student Enrollment BRS VIII '!F436</f>
        <v>22807.499999999996</v>
      </c>
      <c r="O78" s="3680">
        <f>'Student Enrollment BRS VIII '!F457+'Student Enrollment BRS VIII '!F461+'Student Enrollment BRS VIII '!F465-'Student Enrollment BRS VIII '!F472</f>
        <v>5883</v>
      </c>
      <c r="P78" s="3680">
        <f>'Student Enrollment BRS VIII '!F529+'Student Enrollment BRS VIII '!F533+'Student Enrollment BRS VIII '!F537-'Student Enrollment BRS VIII '!F544</f>
        <v>2846.2999999999997</v>
      </c>
      <c r="Q78" s="3680">
        <f>'Student Enrollment BRS VIII '!F493+'Student Enrollment BRS VIII '!F497+'Student Enrollment BRS VIII '!F501-'Student Enrollment BRS VIII '!F508</f>
        <v>8612.6</v>
      </c>
      <c r="R78" s="3679">
        <f t="shared" si="5"/>
        <v>185896.16700000002</v>
      </c>
    </row>
    <row r="79" spans="1:27" ht="21">
      <c r="A79" s="3662">
        <v>2010</v>
      </c>
      <c r="B79" s="3680">
        <f>'Student Enrollment BRS VIII '!H637+'Student Enrollment BRS VIII '!H641+'Student Enrollment BRS VIII '!H645-'Student Enrollment BRS VIII '!H652</f>
        <v>8146.7</v>
      </c>
      <c r="C79" s="3680">
        <f>'Student Enrollment BRS VIII '!H601+'Student Enrollment BRS VIII '!H605+'Student Enrollment BRS VIII '!H609-'Student Enrollment BRS VIII '!H616</f>
        <v>16926.216</v>
      </c>
      <c r="D79" s="3680">
        <f>'Student Enrollment BRS VIII '!H565+'Student Enrollment BRS VIII '!H569+'Student Enrollment BRS VIII '!H573-'Student Enrollment BRS VIII '!H580</f>
        <v>7538.5</v>
      </c>
      <c r="E79" s="3680">
        <f>'Student Enrollment BRS VIII '!H709-'Student Enrollment BRS VIII '!H724</f>
        <v>6774.2</v>
      </c>
      <c r="F79" s="3680">
        <f>'Student Enrollment BRS VIII '!H673-'Student Enrollment BRS VIII '!H688</f>
        <v>66765.900000000009</v>
      </c>
      <c r="G79" s="3680">
        <f>'Student Enrollment BRS VIII '!H97+'Student Enrollment BRS VIII '!H101+'Student Enrollment BRS VIII '!H105-'Student Enrollment BRS VIII '!H112</f>
        <v>22411.199999999997</v>
      </c>
      <c r="H79" s="3680">
        <f>'Student Enrollment BRS VIII '!H133+'Student Enrollment BRS VIII '!H137+'Student Enrollment BRS VIII '!H141-'Student Enrollment BRS VIII '!H148</f>
        <v>1774.6000000000001</v>
      </c>
      <c r="I79" s="3680">
        <f>'Student Enrollment BRS VIII '!H169+'Student Enrollment BRS VIII '!H173+'Student Enrollment BRS VIII '!H177-'Student Enrollment BRS VIII '!H184</f>
        <v>2021.4999999999998</v>
      </c>
      <c r="J79" s="3680">
        <f>'Student Enrollment BRS VIII '!H205+'Student Enrollment BRS VIII '!H209+'Student Enrollment BRS VIII '!H213-'Student Enrollment BRS VIII '!H220</f>
        <v>4250.4000000000005</v>
      </c>
      <c r="K79" s="3680">
        <f>'Student Enrollment BRS VIII '!H241+'Student Enrollment BRS VIII '!H245+'Student Enrollment BRS VIII '!H249-'Student Enrollment BRS VIII '!H256</f>
        <v>5375.9000000000005</v>
      </c>
      <c r="L79" s="3680">
        <f>'Student Enrollment BRS VIII '!H277+'Student Enrollment BRS VIII '!H281+'Student Enrollment BRS VIII '!H285-'Student Enrollment BRS VIII '!H292</f>
        <v>3624.5</v>
      </c>
      <c r="M79" s="3680">
        <f>'Student Enrollment BRS VIII '!H349+'Student Enrollment BRS VIII '!H353+'Student Enrollment BRS VIII '!H357-'Student Enrollment BRS VIII '!H364</f>
        <v>20421.36</v>
      </c>
      <c r="N79" s="3680">
        <f>'Student Enrollment BRS VIII '!H421+'Student Enrollment BRS VIII '!H425+'Student Enrollment BRS VIII '!H429-'Student Enrollment BRS VIII '!H436</f>
        <v>22308.5</v>
      </c>
      <c r="O79" s="3680">
        <f>'Student Enrollment BRS VIII '!H457+'Student Enrollment BRS VIII '!H461+'Student Enrollment BRS VIII '!H465-'Student Enrollment BRS VIII '!H472</f>
        <v>6225.1</v>
      </c>
      <c r="P79" s="3680">
        <f>'Student Enrollment BRS VIII '!H529+'Student Enrollment BRS VIII '!H533+'Student Enrollment BRS VIII '!H537-'Student Enrollment BRS VIII '!H544</f>
        <v>3029.6000000000004</v>
      </c>
      <c r="Q79" s="3680">
        <f>'Student Enrollment BRS VIII '!H493+'Student Enrollment BRS VIII '!H497+'Student Enrollment BRS VIII '!H501-'Student Enrollment BRS VIII '!H508</f>
        <v>9322.1999999999989</v>
      </c>
      <c r="R79" s="3679">
        <f t="shared" si="5"/>
        <v>206916.37599999999</v>
      </c>
    </row>
    <row r="80" spans="1:27" ht="21">
      <c r="A80" s="3662">
        <v>2011</v>
      </c>
      <c r="B80" s="3678">
        <f>'Student Enrollment BRS VIII '!J637+'Student Enrollment BRS VIII '!J641+'Student Enrollment BRS VIII '!J645-'Student Enrollment BRS VIII '!J652</f>
        <v>8085.1000000000013</v>
      </c>
      <c r="C80" s="3678">
        <f>'Student Enrollment BRS VIII '!J601+'Student Enrollment BRS VIII '!J605+'Student Enrollment BRS VIII '!J609-'Student Enrollment BRS VIII '!J616</f>
        <v>17302.859</v>
      </c>
      <c r="D80" s="3678">
        <f>'Student Enrollment BRS VIII '!J565+'Student Enrollment BRS VIII '!J569+'Student Enrollment BRS VIII '!J573-'Student Enrollment BRS VIII '!J580</f>
        <v>8188.6</v>
      </c>
      <c r="E80" s="3678">
        <f>'Student Enrollment BRS VIII '!J709-'Student Enrollment BRS VIII '!J724</f>
        <v>6946.2</v>
      </c>
      <c r="F80" s="3678">
        <f>'Student Enrollment BRS VIII '!J673-'Student Enrollment BRS VIII '!J688</f>
        <v>70518</v>
      </c>
      <c r="G80" s="3678">
        <f>'Student Enrollment BRS VIII '!J97+'Student Enrollment BRS VIII '!J101+'Student Enrollment BRS VIII '!J105-'Student Enrollment BRS VIII '!J112</f>
        <v>22530.100000000002</v>
      </c>
      <c r="H80" s="3678">
        <f>'Student Enrollment BRS VIII '!J133+'Student Enrollment BRS VIII '!J137+'Student Enrollment BRS VIII '!J141-'Student Enrollment BRS VIII '!J148</f>
        <v>1893.5</v>
      </c>
      <c r="I80" s="3678">
        <f>'Student Enrollment BRS VIII '!J169+'Student Enrollment BRS VIII '!J173+'Student Enrollment BRS VIII '!J177-'Student Enrollment BRS VIII '!J184</f>
        <v>2062.2999999999997</v>
      </c>
      <c r="J80" s="3678">
        <f>'Student Enrollment BRS VIII '!J205+'Student Enrollment BRS VIII '!J209+'Student Enrollment BRS VIII '!J213-'Student Enrollment BRS VIII '!J220</f>
        <v>4501.7000000000007</v>
      </c>
      <c r="K80" s="3678">
        <f>'Student Enrollment BRS VIII '!J241+'Student Enrollment BRS VIII '!J245+'Student Enrollment BRS VIII '!J249-'Student Enrollment BRS VIII '!J256</f>
        <v>5398.4999999999991</v>
      </c>
      <c r="L80" s="3678">
        <f>'Student Enrollment BRS VIII '!J277+'Student Enrollment BRS VIII '!J281+'Student Enrollment BRS VIII '!J285-'Student Enrollment BRS VIII '!J292</f>
        <v>3733.3</v>
      </c>
      <c r="M80" s="3678">
        <f>'Student Enrollment BRS VIII '!J349+'Student Enrollment BRS VIII '!J353+'Student Enrollment BRS VIII '!J357-'Student Enrollment BRS VIII '!J364</f>
        <v>20636.02</v>
      </c>
      <c r="N80" s="3678">
        <f>'Student Enrollment BRS VIII '!J421+'Student Enrollment BRS VIII '!J425+'Student Enrollment BRS VIII '!J429-'Student Enrollment BRS VIII '!J436</f>
        <v>21519.4</v>
      </c>
      <c r="O80" s="3678">
        <f>'Student Enrollment BRS VIII '!J457+'Student Enrollment BRS VIII '!J461+'Student Enrollment BRS VIII '!J465-'Student Enrollment BRS VIII '!J472</f>
        <v>5959.5</v>
      </c>
      <c r="P80" s="3678">
        <f>'Student Enrollment BRS VIII '!J529+'Student Enrollment BRS VIII '!J533+'Student Enrollment BRS VIII '!J537-'Student Enrollment BRS VIII '!J544</f>
        <v>3035.7</v>
      </c>
      <c r="Q80" s="3678">
        <f>'Student Enrollment BRS VIII '!J493+'Student Enrollment BRS VIII '!J497+'Student Enrollment BRS VIII '!J501-'Student Enrollment BRS VIII '!J508</f>
        <v>9397.2999999999993</v>
      </c>
      <c r="R80" s="3679">
        <f t="shared" si="5"/>
        <v>211708.07899999997</v>
      </c>
    </row>
    <row r="81" spans="1:27" ht="21">
      <c r="A81" s="3662">
        <v>2012</v>
      </c>
      <c r="B81" s="3678">
        <v>8085.1000000000013</v>
      </c>
      <c r="C81" s="3678">
        <v>17302.859</v>
      </c>
      <c r="D81" s="3678">
        <v>8188.6</v>
      </c>
      <c r="E81" s="3678">
        <v>6946.2</v>
      </c>
      <c r="F81" s="3678">
        <v>70518</v>
      </c>
      <c r="G81" s="3678">
        <v>22530.100000000002</v>
      </c>
      <c r="H81" s="3678">
        <v>1893.5</v>
      </c>
      <c r="I81" s="3678">
        <v>2062.2999999999997</v>
      </c>
      <c r="J81" s="3678">
        <v>4501.7000000000007</v>
      </c>
      <c r="K81" s="3678">
        <v>5398.4999999999991</v>
      </c>
      <c r="L81" s="3678">
        <v>3733.3</v>
      </c>
      <c r="M81" s="3678">
        <v>20636.02</v>
      </c>
      <c r="N81" s="3678">
        <v>21519.4</v>
      </c>
      <c r="O81" s="3678">
        <v>5959.5</v>
      </c>
      <c r="P81" s="3678">
        <v>3035.7</v>
      </c>
      <c r="Q81" s="3678">
        <v>9397.2999999999993</v>
      </c>
      <c r="R81" s="3679">
        <f t="shared" si="5"/>
        <v>211708.07899999997</v>
      </c>
    </row>
    <row r="82" spans="1:27" ht="21">
      <c r="A82" s="3662">
        <v>2013</v>
      </c>
      <c r="B82" s="3678">
        <v>8085.1000000000013</v>
      </c>
      <c r="C82" s="3678">
        <v>17302.859</v>
      </c>
      <c r="D82" s="3678">
        <v>8188.6</v>
      </c>
      <c r="E82" s="3678">
        <v>6946.2</v>
      </c>
      <c r="F82" s="3678">
        <v>70518</v>
      </c>
      <c r="G82" s="3678">
        <v>22530.100000000002</v>
      </c>
      <c r="H82" s="3678">
        <v>1893.5</v>
      </c>
      <c r="I82" s="3678">
        <v>2062.2999999999997</v>
      </c>
      <c r="J82" s="3678">
        <v>4501.7000000000007</v>
      </c>
      <c r="K82" s="3678">
        <v>5398.4999999999991</v>
      </c>
      <c r="L82" s="3678">
        <v>3733.3</v>
      </c>
      <c r="M82" s="3678">
        <v>20636.02</v>
      </c>
      <c r="N82" s="3678">
        <v>21519.4</v>
      </c>
      <c r="O82" s="3678">
        <v>5959.5</v>
      </c>
      <c r="P82" s="3678">
        <v>3035.7</v>
      </c>
      <c r="Q82" s="3678">
        <v>9397.2999999999993</v>
      </c>
      <c r="R82" s="3679">
        <f t="shared" si="5"/>
        <v>211708.07899999997</v>
      </c>
    </row>
    <row r="83" spans="1:27" ht="21">
      <c r="A83" s="3662">
        <v>2014</v>
      </c>
      <c r="B83" s="3678">
        <v>8085.1000000000013</v>
      </c>
      <c r="C83" s="3678">
        <v>17302.859</v>
      </c>
      <c r="D83" s="3678">
        <v>8188.6</v>
      </c>
      <c r="E83" s="3678">
        <v>6946.2</v>
      </c>
      <c r="F83" s="3678">
        <v>70518</v>
      </c>
      <c r="G83" s="3678">
        <v>22530.100000000002</v>
      </c>
      <c r="H83" s="3678">
        <v>1893.5</v>
      </c>
      <c r="I83" s="3678">
        <v>2062.2999999999997</v>
      </c>
      <c r="J83" s="3678">
        <v>4501.7000000000007</v>
      </c>
      <c r="K83" s="3678">
        <v>5398.4999999999991</v>
      </c>
      <c r="L83" s="3678">
        <v>3733.3</v>
      </c>
      <c r="M83" s="3678">
        <v>20636.02</v>
      </c>
      <c r="N83" s="3678">
        <v>21519.4</v>
      </c>
      <c r="O83" s="3678">
        <v>5959.5</v>
      </c>
      <c r="P83" s="3678">
        <v>3035.7</v>
      </c>
      <c r="Q83" s="3678">
        <v>9397.2999999999993</v>
      </c>
      <c r="R83" s="3679">
        <f t="shared" si="5"/>
        <v>211708.07899999997</v>
      </c>
    </row>
    <row r="84" spans="1:27" ht="21">
      <c r="A84" s="3662">
        <v>2015</v>
      </c>
      <c r="B84" s="3678">
        <v>8085.1000000000013</v>
      </c>
      <c r="C84" s="3678">
        <v>17302.859</v>
      </c>
      <c r="D84" s="3678">
        <v>8188.6</v>
      </c>
      <c r="E84" s="3678">
        <v>6946.2</v>
      </c>
      <c r="F84" s="3678">
        <v>70518</v>
      </c>
      <c r="G84" s="3678">
        <v>22530.100000000002</v>
      </c>
      <c r="H84" s="3678">
        <v>1893.5</v>
      </c>
      <c r="I84" s="3678">
        <v>2062.2999999999997</v>
      </c>
      <c r="J84" s="3678">
        <v>4501.7000000000007</v>
      </c>
      <c r="K84" s="3678">
        <v>5398.4999999999991</v>
      </c>
      <c r="L84" s="3678">
        <v>3733.3</v>
      </c>
      <c r="M84" s="3678">
        <v>20636.02</v>
      </c>
      <c r="N84" s="3678">
        <v>21519.4</v>
      </c>
      <c r="O84" s="3678">
        <v>5959.5</v>
      </c>
      <c r="P84" s="3678">
        <v>3035.7</v>
      </c>
      <c r="Q84" s="3678">
        <v>9397.2999999999993</v>
      </c>
      <c r="R84" s="3679">
        <f t="shared" si="5"/>
        <v>211708.07899999997</v>
      </c>
    </row>
    <row r="85" spans="1:27" ht="21">
      <c r="A85" s="3662" t="s">
        <v>418</v>
      </c>
      <c r="B85" s="3666">
        <f t="shared" ref="B85:R85" si="6">B84/B82-1</f>
        <v>0</v>
      </c>
      <c r="C85" s="3666">
        <f t="shared" si="6"/>
        <v>0</v>
      </c>
      <c r="D85" s="3666">
        <f t="shared" si="6"/>
        <v>0</v>
      </c>
      <c r="E85" s="3666">
        <f t="shared" si="6"/>
        <v>0</v>
      </c>
      <c r="F85" s="3666">
        <f t="shared" si="6"/>
        <v>0</v>
      </c>
      <c r="G85" s="3666">
        <f t="shared" si="6"/>
        <v>0</v>
      </c>
      <c r="H85" s="3666">
        <f t="shared" si="6"/>
        <v>0</v>
      </c>
      <c r="I85" s="3666">
        <f t="shared" si="6"/>
        <v>0</v>
      </c>
      <c r="J85" s="3666">
        <f t="shared" si="6"/>
        <v>0</v>
      </c>
      <c r="K85" s="3666">
        <f t="shared" si="6"/>
        <v>0</v>
      </c>
      <c r="L85" s="3666">
        <f t="shared" si="6"/>
        <v>0</v>
      </c>
      <c r="M85" s="3666">
        <f t="shared" si="6"/>
        <v>0</v>
      </c>
      <c r="N85" s="3666">
        <f t="shared" si="6"/>
        <v>0</v>
      </c>
      <c r="O85" s="3666">
        <f t="shared" si="6"/>
        <v>0</v>
      </c>
      <c r="P85" s="3666">
        <f t="shared" si="6"/>
        <v>0</v>
      </c>
      <c r="Q85" s="3666">
        <f t="shared" si="6"/>
        <v>0</v>
      </c>
      <c r="R85" s="3667">
        <f t="shared" si="6"/>
        <v>0</v>
      </c>
      <c r="S85" s="3659"/>
      <c r="T85" s="3659"/>
      <c r="U85" s="3659"/>
      <c r="V85" s="3659"/>
      <c r="W85" s="3652"/>
      <c r="X85" s="3659"/>
      <c r="Y85" s="3659"/>
      <c r="Z85" s="3659"/>
      <c r="AA85" s="3659"/>
    </row>
    <row r="86" spans="1:27" ht="21">
      <c r="A86" s="3662" t="s">
        <v>419</v>
      </c>
      <c r="B86" s="3666">
        <f t="shared" ref="B86:R86" si="7">B84/B80-1</f>
        <v>0</v>
      </c>
      <c r="C86" s="3666">
        <f t="shared" si="7"/>
        <v>0</v>
      </c>
      <c r="D86" s="3666">
        <f t="shared" si="7"/>
        <v>0</v>
      </c>
      <c r="E86" s="3666">
        <f t="shared" si="7"/>
        <v>0</v>
      </c>
      <c r="F86" s="3666">
        <f t="shared" si="7"/>
        <v>0</v>
      </c>
      <c r="G86" s="3666">
        <f t="shared" si="7"/>
        <v>0</v>
      </c>
      <c r="H86" s="3666">
        <f t="shared" si="7"/>
        <v>0</v>
      </c>
      <c r="I86" s="3666">
        <f t="shared" si="7"/>
        <v>0</v>
      </c>
      <c r="J86" s="3666">
        <f t="shared" si="7"/>
        <v>0</v>
      </c>
      <c r="K86" s="3666">
        <f t="shared" si="7"/>
        <v>0</v>
      </c>
      <c r="L86" s="3666">
        <f t="shared" si="7"/>
        <v>0</v>
      </c>
      <c r="M86" s="3666">
        <f t="shared" si="7"/>
        <v>0</v>
      </c>
      <c r="N86" s="3666">
        <f t="shared" si="7"/>
        <v>0</v>
      </c>
      <c r="O86" s="3666">
        <f t="shared" si="7"/>
        <v>0</v>
      </c>
      <c r="P86" s="3666">
        <f t="shared" si="7"/>
        <v>0</v>
      </c>
      <c r="Q86" s="3666">
        <f t="shared" si="7"/>
        <v>0</v>
      </c>
      <c r="R86" s="3667">
        <f t="shared" si="7"/>
        <v>0</v>
      </c>
      <c r="S86" s="3659"/>
      <c r="T86" s="3659"/>
      <c r="U86" s="3659"/>
      <c r="V86" s="3659"/>
      <c r="W86" s="3652"/>
      <c r="X86" s="3659"/>
      <c r="Y86" s="3659"/>
      <c r="Z86" s="3659"/>
      <c r="AA86" s="3659"/>
    </row>
    <row r="87" spans="1:27" ht="21.6" thickBot="1">
      <c r="A87" s="3668" t="s">
        <v>420</v>
      </c>
      <c r="B87" s="3669">
        <f>B84/B76-1</f>
        <v>4.9045685147461437E-2</v>
      </c>
      <c r="C87" s="3669">
        <f t="shared" ref="C87:R87" si="8">C84/C76-1</f>
        <v>7.6270258683910352E-2</v>
      </c>
      <c r="D87" s="3669">
        <f t="shared" si="8"/>
        <v>4.8785173610666366E-2</v>
      </c>
      <c r="E87" s="3669">
        <f t="shared" si="8"/>
        <v>0.24099119218194476</v>
      </c>
      <c r="F87" s="3669">
        <f t="shared" si="8"/>
        <v>0.63456701984390973</v>
      </c>
      <c r="G87" s="3669">
        <f t="shared" si="8"/>
        <v>4.2288119911177091E-2</v>
      </c>
      <c r="H87" s="3669">
        <f t="shared" si="8"/>
        <v>0.3717038539553752</v>
      </c>
      <c r="I87" s="3669">
        <f t="shared" si="8"/>
        <v>8.4222701224961893E-2</v>
      </c>
      <c r="J87" s="3669">
        <f t="shared" si="8"/>
        <v>0.24624882343170373</v>
      </c>
      <c r="K87" s="3669">
        <f t="shared" si="8"/>
        <v>0.15668923551594083</v>
      </c>
      <c r="L87" s="3669">
        <f t="shared" si="8"/>
        <v>9.5002053147181575E-2</v>
      </c>
      <c r="M87" s="3669">
        <f t="shared" si="8"/>
        <v>6.9673318684691177E-2</v>
      </c>
      <c r="N87" s="3669">
        <f t="shared" si="8"/>
        <v>-7.0725303577289123E-2</v>
      </c>
      <c r="O87" s="3669">
        <f t="shared" si="8"/>
        <v>2.1039285897853199E-2</v>
      </c>
      <c r="P87" s="3669">
        <f t="shared" si="8"/>
        <v>0.15606077916143035</v>
      </c>
      <c r="Q87" s="3669">
        <f t="shared" si="8"/>
        <v>0.14389181030285325</v>
      </c>
      <c r="R87" s="3670">
        <f t="shared" si="8"/>
        <v>0.20258154810657247</v>
      </c>
      <c r="S87" s="3659"/>
      <c r="T87" s="3659"/>
      <c r="U87" s="3659"/>
      <c r="V87" s="3659"/>
      <c r="W87" s="3652"/>
      <c r="X87" s="3659"/>
      <c r="Y87" s="3659"/>
      <c r="Z87" s="3659"/>
      <c r="AA87" s="3659"/>
    </row>
    <row r="88" spans="1:27" ht="21.6" thickBot="1">
      <c r="A88" s="4255"/>
      <c r="B88" s="3682"/>
      <c r="C88" s="3682"/>
      <c r="D88" s="3682"/>
      <c r="E88" s="3682"/>
      <c r="F88" s="3682"/>
      <c r="G88" s="3682"/>
      <c r="H88" s="3682"/>
      <c r="I88" s="3682"/>
      <c r="J88" s="3682"/>
      <c r="K88" s="3682"/>
      <c r="L88" s="3682"/>
      <c r="M88" s="3682"/>
      <c r="N88" s="3682"/>
      <c r="O88" s="3682"/>
      <c r="P88" s="3682"/>
      <c r="Q88" s="3682"/>
      <c r="R88" s="3683"/>
    </row>
    <row r="89" spans="1:27" ht="22.2" thickTop="1" thickBot="1">
      <c r="A89" s="4505" t="s">
        <v>422</v>
      </c>
      <c r="B89" s="4505"/>
      <c r="C89" s="4505"/>
      <c r="D89" s="4505"/>
      <c r="E89" s="4505"/>
      <c r="F89" s="4505"/>
      <c r="G89" s="4505"/>
      <c r="H89" s="4505"/>
      <c r="I89" s="4505"/>
      <c r="J89" s="4505"/>
      <c r="K89" s="4505"/>
      <c r="L89" s="4505"/>
      <c r="M89" s="4505"/>
      <c r="N89" s="4505"/>
      <c r="O89" s="4505"/>
      <c r="P89" s="4505"/>
      <c r="Q89" s="4505"/>
      <c r="R89" s="4505"/>
    </row>
    <row r="90" spans="1:27" ht="21.6" thickBot="1">
      <c r="A90" s="3684"/>
      <c r="B90" s="3685" t="s">
        <v>277</v>
      </c>
      <c r="C90" s="3685" t="s">
        <v>276</v>
      </c>
      <c r="D90" s="3685" t="s">
        <v>275</v>
      </c>
      <c r="E90" s="3685" t="s">
        <v>278</v>
      </c>
      <c r="F90" s="3685" t="s">
        <v>279</v>
      </c>
      <c r="G90" s="3685" t="s">
        <v>263</v>
      </c>
      <c r="H90" s="3685" t="s">
        <v>265</v>
      </c>
      <c r="I90" s="3685" t="s">
        <v>264</v>
      </c>
      <c r="J90" s="3685" t="s">
        <v>266</v>
      </c>
      <c r="K90" s="3685" t="s">
        <v>267</v>
      </c>
      <c r="L90" s="3685" t="s">
        <v>268</v>
      </c>
      <c r="M90" s="3685" t="s">
        <v>485</v>
      </c>
      <c r="N90" s="3685" t="s">
        <v>270</v>
      </c>
      <c r="O90" s="3685" t="s">
        <v>271</v>
      </c>
      <c r="P90" s="3685" t="s">
        <v>273</v>
      </c>
      <c r="Q90" s="3685" t="s">
        <v>272</v>
      </c>
      <c r="R90" s="3686" t="s">
        <v>417</v>
      </c>
    </row>
    <row r="91" spans="1:27" ht="21" hidden="1">
      <c r="A91" s="3687">
        <v>1999</v>
      </c>
      <c r="B91" s="3688">
        <f t="shared" ref="B91:R105" si="9">B28/B68</f>
        <v>3879.2028851342166</v>
      </c>
      <c r="C91" s="3688">
        <f t="shared" si="9"/>
        <v>6995.3043141964235</v>
      </c>
      <c r="D91" s="3688">
        <f t="shared" si="9"/>
        <v>85007.210633969938</v>
      </c>
      <c r="E91" s="3688">
        <f t="shared" si="9"/>
        <v>4391.1504835361393</v>
      </c>
      <c r="F91" s="3688">
        <f t="shared" si="9"/>
        <v>3309.8496465545591</v>
      </c>
      <c r="G91" s="3688">
        <f t="shared" si="9"/>
        <v>7814.4760600790405</v>
      </c>
      <c r="H91" s="3688">
        <f t="shared" si="9"/>
        <v>4753.7354860816213</v>
      </c>
      <c r="I91" s="3688">
        <f t="shared" si="9"/>
        <v>5709.3070599177854</v>
      </c>
      <c r="J91" s="3688">
        <f t="shared" si="9"/>
        <v>5110.4402874254411</v>
      </c>
      <c r="K91" s="3688">
        <f t="shared" si="9"/>
        <v>4289.6935684521877</v>
      </c>
      <c r="L91" s="3688">
        <f t="shared" si="9"/>
        <v>3942.4825566565528</v>
      </c>
      <c r="M91" s="3688">
        <f t="shared" si="9"/>
        <v>3567.18893524539</v>
      </c>
      <c r="N91" s="3688">
        <f t="shared" si="9"/>
        <v>8389.4779393838344</v>
      </c>
      <c r="O91" s="3688">
        <f t="shared" si="9"/>
        <v>4131.0104196718057</v>
      </c>
      <c r="P91" s="3688">
        <f t="shared" si="9"/>
        <v>3663.3790380939813</v>
      </c>
      <c r="Q91" s="3688">
        <f t="shared" si="9"/>
        <v>4007.1892693448372</v>
      </c>
      <c r="R91" s="3689">
        <f t="shared" si="9"/>
        <v>6003.1682407105209</v>
      </c>
    </row>
    <row r="92" spans="1:27" ht="21" hidden="1">
      <c r="A92" s="3662">
        <v>2000</v>
      </c>
      <c r="B92" s="3690">
        <f t="shared" si="9"/>
        <v>4400.462952767044</v>
      </c>
      <c r="C92" s="3690">
        <f t="shared" si="9"/>
        <v>7330.0856550813423</v>
      </c>
      <c r="D92" s="3690">
        <f t="shared" si="9"/>
        <v>8734.0197711014534</v>
      </c>
      <c r="E92" s="3690">
        <f t="shared" si="9"/>
        <v>4477.5053365178146</v>
      </c>
      <c r="F92" s="3690">
        <f t="shared" si="9"/>
        <v>3676.0903714727956</v>
      </c>
      <c r="G92" s="3690">
        <f t="shared" si="9"/>
        <v>8018.0208856874488</v>
      </c>
      <c r="H92" s="3690">
        <f t="shared" si="9"/>
        <v>5107.6967321579405</v>
      </c>
      <c r="I92" s="3690">
        <f t="shared" si="9"/>
        <v>6008.024828912281</v>
      </c>
      <c r="J92" s="3690">
        <f t="shared" si="9"/>
        <v>5296.6636741074844</v>
      </c>
      <c r="K92" s="3690">
        <f t="shared" si="9"/>
        <v>4667.2888860139865</v>
      </c>
      <c r="L92" s="3690">
        <f t="shared" si="9"/>
        <v>4165.2738315694951</v>
      </c>
      <c r="M92" s="3690">
        <f t="shared" si="9"/>
        <v>3898.8232608071216</v>
      </c>
      <c r="N92" s="3690">
        <f t="shared" si="9"/>
        <v>8858.6993142774227</v>
      </c>
      <c r="O92" s="3690">
        <f t="shared" si="9"/>
        <v>4328.7058596394891</v>
      </c>
      <c r="P92" s="3690">
        <f t="shared" si="9"/>
        <v>3966.5467288164214</v>
      </c>
      <c r="Q92" s="3690">
        <f t="shared" si="9"/>
        <v>4114.0328189907441</v>
      </c>
      <c r="R92" s="3664">
        <f t="shared" si="9"/>
        <v>6000.6875506073184</v>
      </c>
    </row>
    <row r="93" spans="1:27" ht="21" hidden="1">
      <c r="A93" s="3662">
        <v>2001</v>
      </c>
      <c r="B93" s="3690">
        <f t="shared" si="9"/>
        <v>4491.4571773108537</v>
      </c>
      <c r="C93" s="3690">
        <f t="shared" si="9"/>
        <v>7338.918012762977</v>
      </c>
      <c r="D93" s="3690">
        <f t="shared" si="9"/>
        <v>8777.4175623942829</v>
      </c>
      <c r="E93" s="3690">
        <f t="shared" si="9"/>
        <v>5078.7141269197073</v>
      </c>
      <c r="F93" s="3690">
        <f t="shared" si="9"/>
        <v>3468.8342676179795</v>
      </c>
      <c r="G93" s="3690">
        <f t="shared" si="9"/>
        <v>8143.1750935511818</v>
      </c>
      <c r="H93" s="3690">
        <f t="shared" si="9"/>
        <v>5047.9288655715127</v>
      </c>
      <c r="I93" s="3690">
        <f t="shared" si="9"/>
        <v>5957.0432825325952</v>
      </c>
      <c r="J93" s="3690">
        <f t="shared" si="9"/>
        <v>5628.7287904407276</v>
      </c>
      <c r="K93" s="3690">
        <f t="shared" si="9"/>
        <v>4771.7615539480521</v>
      </c>
      <c r="L93" s="3690">
        <f t="shared" si="9"/>
        <v>4554.4212960609648</v>
      </c>
      <c r="M93" s="3690">
        <f t="shared" si="9"/>
        <v>3988.9611974320969</v>
      </c>
      <c r="N93" s="3690">
        <f t="shared" si="9"/>
        <v>9223.9668319673328</v>
      </c>
      <c r="O93" s="3690">
        <f t="shared" si="9"/>
        <v>4596.1232536441939</v>
      </c>
      <c r="P93" s="3690">
        <f t="shared" si="9"/>
        <v>4041.388139164631</v>
      </c>
      <c r="Q93" s="3690">
        <f t="shared" si="9"/>
        <v>4266.5517738379604</v>
      </c>
      <c r="R93" s="3664">
        <f t="shared" si="9"/>
        <v>6071.4638935011853</v>
      </c>
    </row>
    <row r="94" spans="1:27" ht="21" hidden="1">
      <c r="A94" s="3662">
        <v>2002</v>
      </c>
      <c r="B94" s="3690">
        <f t="shared" si="9"/>
        <v>4264.6755817965977</v>
      </c>
      <c r="C94" s="3690">
        <f t="shared" si="9"/>
        <v>6782.5066117395372</v>
      </c>
      <c r="D94" s="3690">
        <f t="shared" si="9"/>
        <v>7575.9083758058368</v>
      </c>
      <c r="E94" s="3690">
        <f t="shared" si="9"/>
        <v>5383.1365669074648</v>
      </c>
      <c r="F94" s="3690">
        <f t="shared" si="9"/>
        <v>3269.6853919398163</v>
      </c>
      <c r="G94" s="3690">
        <f t="shared" si="9"/>
        <v>8081.910828908256</v>
      </c>
      <c r="H94" s="3690">
        <f t="shared" si="9"/>
        <v>4634.3120100419173</v>
      </c>
      <c r="I94" s="3690">
        <f t="shared" si="9"/>
        <v>5731.2595880203626</v>
      </c>
      <c r="J94" s="3690">
        <f t="shared" si="9"/>
        <v>5456.2040235823588</v>
      </c>
      <c r="K94" s="3690">
        <f t="shared" si="9"/>
        <v>4616.4233126406125</v>
      </c>
      <c r="L94" s="3690">
        <f t="shared" si="9"/>
        <v>4936.8608525921645</v>
      </c>
      <c r="M94" s="3690">
        <f t="shared" si="9"/>
        <v>3953.8897019615069</v>
      </c>
      <c r="N94" s="3690">
        <f t="shared" si="9"/>
        <v>9400.0756767297571</v>
      </c>
      <c r="O94" s="3690">
        <f t="shared" si="9"/>
        <v>4648.0612370319377</v>
      </c>
      <c r="P94" s="3690">
        <f t="shared" si="9"/>
        <v>4157.3556131356399</v>
      </c>
      <c r="Q94" s="3690">
        <f t="shared" si="9"/>
        <v>4004.4181652163711</v>
      </c>
      <c r="R94" s="3664">
        <f t="shared" si="9"/>
        <v>5838.671043232107</v>
      </c>
    </row>
    <row r="95" spans="1:27" ht="21" hidden="1">
      <c r="A95" s="3662">
        <v>2003</v>
      </c>
      <c r="B95" s="3690">
        <f t="shared" si="9"/>
        <v>4432.9982247074495</v>
      </c>
      <c r="C95" s="3690">
        <f t="shared" si="9"/>
        <v>6871.7910273840625</v>
      </c>
      <c r="D95" s="3690">
        <f t="shared" si="9"/>
        <v>8476.8892809359459</v>
      </c>
      <c r="E95" s="3690">
        <f t="shared" si="9"/>
        <v>5043.9595342540515</v>
      </c>
      <c r="F95" s="3690">
        <f t="shared" si="9"/>
        <v>2973.5770685693819</v>
      </c>
      <c r="G95" s="3690">
        <f t="shared" si="9"/>
        <v>8406.374722947181</v>
      </c>
      <c r="H95" s="3690">
        <f t="shared" si="9"/>
        <v>4696.2928954659028</v>
      </c>
      <c r="I95" s="3690">
        <f t="shared" si="9"/>
        <v>5412.2162123161788</v>
      </c>
      <c r="J95" s="3690">
        <f t="shared" si="9"/>
        <v>4918.0382630348158</v>
      </c>
      <c r="K95" s="3690">
        <f t="shared" si="9"/>
        <v>4491.7211421971524</v>
      </c>
      <c r="L95" s="3690">
        <f t="shared" si="9"/>
        <v>4920.4845834243642</v>
      </c>
      <c r="M95" s="3690">
        <f t="shared" si="9"/>
        <v>4918.0174130433988</v>
      </c>
      <c r="N95" s="3690">
        <f t="shared" si="9"/>
        <v>7491.3160148848447</v>
      </c>
      <c r="O95" s="3690">
        <f t="shared" si="9"/>
        <v>4682.1608294396319</v>
      </c>
      <c r="P95" s="3690">
        <f t="shared" si="9"/>
        <v>3957.012380082931</v>
      </c>
      <c r="Q95" s="3690">
        <f t="shared" si="9"/>
        <v>3935.074498540313</v>
      </c>
      <c r="R95" s="3664">
        <f t="shared" si="9"/>
        <v>5630.0517542729485</v>
      </c>
    </row>
    <row r="96" spans="1:27" ht="21" hidden="1">
      <c r="A96" s="3662">
        <v>2004</v>
      </c>
      <c r="B96" s="3690">
        <f t="shared" si="9"/>
        <v>4440.1350503122849</v>
      </c>
      <c r="C96" s="3690">
        <f t="shared" si="9"/>
        <v>6741.6200707993312</v>
      </c>
      <c r="D96" s="3690">
        <f t="shared" si="9"/>
        <v>8622.535880635347</v>
      </c>
      <c r="E96" s="3690">
        <f t="shared" si="9"/>
        <v>5237.4870251948296</v>
      </c>
      <c r="F96" s="3690">
        <f t="shared" si="9"/>
        <v>3043.5354386758731</v>
      </c>
      <c r="G96" s="3690">
        <f t="shared" si="9"/>
        <v>8481.8365157094031</v>
      </c>
      <c r="H96" s="3690">
        <f t="shared" si="9"/>
        <v>4752.7591695844903</v>
      </c>
      <c r="I96" s="3690">
        <f t="shared" si="9"/>
        <v>5020.1795207877494</v>
      </c>
      <c r="J96" s="3690">
        <f t="shared" si="9"/>
        <v>4665.3851066349816</v>
      </c>
      <c r="K96" s="3690">
        <f t="shared" si="9"/>
        <v>4583.9066355968398</v>
      </c>
      <c r="L96" s="3690">
        <f t="shared" si="9"/>
        <v>5186.8191273607745</v>
      </c>
      <c r="M96" s="3690">
        <f t="shared" si="9"/>
        <v>4991.7806842833315</v>
      </c>
      <c r="N96" s="3690">
        <f t="shared" si="9"/>
        <v>7540.7845511893638</v>
      </c>
      <c r="O96" s="3690">
        <f t="shared" si="9"/>
        <v>4521.3234343691965</v>
      </c>
      <c r="P96" s="3690">
        <f t="shared" si="9"/>
        <v>4103.8103457218594</v>
      </c>
      <c r="Q96" s="3690">
        <f t="shared" si="9"/>
        <v>4009.6360517233893</v>
      </c>
      <c r="R96" s="3664">
        <f t="shared" si="9"/>
        <v>5617.6025552020501</v>
      </c>
    </row>
    <row r="97" spans="1:27" ht="21" hidden="1">
      <c r="A97" s="3662">
        <v>2005</v>
      </c>
      <c r="B97" s="3690">
        <f t="shared" si="9"/>
        <v>4476.6766778248029</v>
      </c>
      <c r="C97" s="3690">
        <f t="shared" si="9"/>
        <v>6937.708198055735</v>
      </c>
      <c r="D97" s="3690">
        <f t="shared" si="9"/>
        <v>9082.9392822097725</v>
      </c>
      <c r="E97" s="3690">
        <f t="shared" si="9"/>
        <v>5318.9815138774675</v>
      </c>
      <c r="F97" s="3690">
        <f t="shared" si="9"/>
        <v>3218.2482349000597</v>
      </c>
      <c r="G97" s="3690">
        <f t="shared" si="9"/>
        <v>8868.2076150402518</v>
      </c>
      <c r="H97" s="3690">
        <f t="shared" si="9"/>
        <v>5015.9454590114456</v>
      </c>
      <c r="I97" s="3690">
        <f t="shared" si="9"/>
        <v>5053.5753689301591</v>
      </c>
      <c r="J97" s="3690">
        <f t="shared" si="9"/>
        <v>4625.8843660021075</v>
      </c>
      <c r="K97" s="3690">
        <f t="shared" si="9"/>
        <v>4634.5123073119939</v>
      </c>
      <c r="L97" s="3690">
        <f t="shared" si="9"/>
        <v>5395.4353209560977</v>
      </c>
      <c r="M97" s="3690">
        <f t="shared" si="9"/>
        <v>4988.5748316047566</v>
      </c>
      <c r="N97" s="3690">
        <f t="shared" si="9"/>
        <v>7796.4912294854412</v>
      </c>
      <c r="O97" s="3690">
        <f t="shared" si="9"/>
        <v>4524.1668979635388</v>
      </c>
      <c r="P97" s="3690">
        <f t="shared" si="9"/>
        <v>4194.0673166255419</v>
      </c>
      <c r="Q97" s="3690">
        <f t="shared" si="9"/>
        <v>4182.6282485997053</v>
      </c>
      <c r="R97" s="3664">
        <f t="shared" si="9"/>
        <v>5761.4170915805607</v>
      </c>
    </row>
    <row r="98" spans="1:27" ht="21" hidden="1">
      <c r="A98" s="3662">
        <v>2006</v>
      </c>
      <c r="B98" s="3690">
        <f t="shared" si="9"/>
        <v>4499.9568673598269</v>
      </c>
      <c r="C98" s="3690">
        <f t="shared" si="9"/>
        <v>7020.8076176642444</v>
      </c>
      <c r="D98" s="3690">
        <f t="shared" si="9"/>
        <v>9360.7590993537942</v>
      </c>
      <c r="E98" s="3690">
        <f t="shared" si="9"/>
        <v>5447.1094486484471</v>
      </c>
      <c r="F98" s="3690">
        <f t="shared" si="9"/>
        <v>3404.6313119823299</v>
      </c>
      <c r="G98" s="3690">
        <f t="shared" si="9"/>
        <v>8697.4805372081919</v>
      </c>
      <c r="H98" s="3690">
        <f t="shared" si="9"/>
        <v>5232.8904756263328</v>
      </c>
      <c r="I98" s="3690">
        <f t="shared" si="9"/>
        <v>5077.4893420209655</v>
      </c>
      <c r="J98" s="3690">
        <f t="shared" si="9"/>
        <v>4847.1509614025363</v>
      </c>
      <c r="K98" s="3690">
        <f t="shared" si="9"/>
        <v>4689.2865937567713</v>
      </c>
      <c r="L98" s="3690">
        <f t="shared" si="9"/>
        <v>5681.8335697835955</v>
      </c>
      <c r="M98" s="3690">
        <f t="shared" si="9"/>
        <v>5138.318087954447</v>
      </c>
      <c r="N98" s="3690">
        <f t="shared" si="9"/>
        <v>7547.8474291774464</v>
      </c>
      <c r="O98" s="3690">
        <f t="shared" si="9"/>
        <v>4459.9767306543636</v>
      </c>
      <c r="P98" s="3690">
        <f t="shared" si="9"/>
        <v>4091.3774394637608</v>
      </c>
      <c r="Q98" s="3690">
        <f t="shared" si="9"/>
        <v>4316.3313863457843</v>
      </c>
      <c r="R98" s="3664">
        <f t="shared" si="9"/>
        <v>5791.4665556937471</v>
      </c>
    </row>
    <row r="99" spans="1:27" ht="21">
      <c r="A99" s="3662">
        <v>2007</v>
      </c>
      <c r="B99" s="3690">
        <f t="shared" si="9"/>
        <v>765.73562040196703</v>
      </c>
      <c r="C99" s="3690">
        <f t="shared" si="9"/>
        <v>672.33576621450459</v>
      </c>
      <c r="D99" s="3690">
        <f t="shared" si="9"/>
        <v>932.74792832716423</v>
      </c>
      <c r="E99" s="3690">
        <f t="shared" si="9"/>
        <v>689.94425883908309</v>
      </c>
      <c r="F99" s="3690">
        <f t="shared" si="9"/>
        <v>304.09960664507889</v>
      </c>
      <c r="G99" s="3690">
        <f t="shared" si="9"/>
        <v>1136.9206143597335</v>
      </c>
      <c r="H99" s="3690">
        <f t="shared" si="9"/>
        <v>1468.0607070414371</v>
      </c>
      <c r="I99" s="3690">
        <f t="shared" si="9"/>
        <v>1275.1490457914936</v>
      </c>
      <c r="J99" s="3690">
        <f t="shared" si="9"/>
        <v>1185.2267316316925</v>
      </c>
      <c r="K99" s="3690">
        <f t="shared" si="9"/>
        <v>1266.8850702776826</v>
      </c>
      <c r="L99" s="3690">
        <f t="shared" si="9"/>
        <v>1525.8511761600282</v>
      </c>
      <c r="M99" s="3690">
        <f t="shared" si="9"/>
        <v>850.29336161464755</v>
      </c>
      <c r="N99" s="3690">
        <f t="shared" si="9"/>
        <v>903.43292798783966</v>
      </c>
      <c r="O99" s="3690">
        <f t="shared" si="9"/>
        <v>332.57457124745144</v>
      </c>
      <c r="P99" s="3690">
        <f t="shared" si="9"/>
        <v>0</v>
      </c>
      <c r="Q99" s="3690">
        <f t="shared" si="9"/>
        <v>394.48461388645444</v>
      </c>
      <c r="R99" s="3664">
        <f t="shared" si="9"/>
        <v>726.54832799374174</v>
      </c>
    </row>
    <row r="100" spans="1:27" ht="21">
      <c r="A100" s="3662">
        <v>2008</v>
      </c>
      <c r="B100" s="3690">
        <f t="shared" si="9"/>
        <v>1238.137877937703</v>
      </c>
      <c r="C100" s="3690">
        <f t="shared" si="9"/>
        <v>786.57862376518096</v>
      </c>
      <c r="D100" s="3690">
        <f t="shared" si="9"/>
        <v>1236.8491682891452</v>
      </c>
      <c r="E100" s="3690">
        <f t="shared" si="9"/>
        <v>910.57320840547243</v>
      </c>
      <c r="F100" s="3690">
        <f t="shared" si="9"/>
        <v>445.69959444734587</v>
      </c>
      <c r="G100" s="3690">
        <f t="shared" si="9"/>
        <v>1165.1490771859335</v>
      </c>
      <c r="H100" s="3690">
        <f t="shared" si="9"/>
        <v>1453.9649022685119</v>
      </c>
      <c r="I100" s="3690">
        <f t="shared" si="9"/>
        <v>1262.0700015813611</v>
      </c>
      <c r="J100" s="3690">
        <f t="shared" si="9"/>
        <v>1218.7965211498276</v>
      </c>
      <c r="K100" s="3690">
        <f t="shared" si="9"/>
        <v>1278.862910657266</v>
      </c>
      <c r="L100" s="3690">
        <f t="shared" si="9"/>
        <v>1588.4510738416989</v>
      </c>
      <c r="M100" s="3690">
        <f t="shared" si="9"/>
        <v>1060.6350065704096</v>
      </c>
      <c r="N100" s="3690">
        <f t="shared" si="9"/>
        <v>1031.2600417183837</v>
      </c>
      <c r="O100" s="3690">
        <f t="shared" si="9"/>
        <v>264.53547715363476</v>
      </c>
      <c r="P100" s="3690">
        <f t="shared" si="9"/>
        <v>0</v>
      </c>
      <c r="Q100" s="3690">
        <f t="shared" si="9"/>
        <v>504.24822398662758</v>
      </c>
      <c r="R100" s="3664">
        <f t="shared" si="9"/>
        <v>851.55570274083368</v>
      </c>
    </row>
    <row r="101" spans="1:27" ht="21">
      <c r="A101" s="3662">
        <v>2009</v>
      </c>
      <c r="B101" s="3690">
        <f t="shared" si="9"/>
        <v>1400.2130206144875</v>
      </c>
      <c r="C101" s="3690">
        <f t="shared" si="9"/>
        <v>875.2126955907986</v>
      </c>
      <c r="D101" s="3690">
        <f t="shared" si="9"/>
        <v>1371.0903263872126</v>
      </c>
      <c r="E101" s="3690">
        <f t="shared" si="9"/>
        <v>1093.0285630393291</v>
      </c>
      <c r="F101" s="3690">
        <f t="shared" si="9"/>
        <v>548.01742347348659</v>
      </c>
      <c r="G101" s="3690">
        <f t="shared" si="9"/>
        <v>1196.9735063220946</v>
      </c>
      <c r="H101" s="3690">
        <f t="shared" si="9"/>
        <v>1299.043540328337</v>
      </c>
      <c r="I101" s="3690">
        <f t="shared" si="9"/>
        <v>1292.3040993515772</v>
      </c>
      <c r="J101" s="3690">
        <f t="shared" si="9"/>
        <v>1142.5848268427435</v>
      </c>
      <c r="K101" s="3690">
        <f t="shared" si="9"/>
        <v>1477.4039897698212</v>
      </c>
      <c r="L101" s="3690">
        <f t="shared" si="9"/>
        <v>1496.4484304932732</v>
      </c>
      <c r="M101" s="3690">
        <f t="shared" si="9"/>
        <v>1050.7212855621681</v>
      </c>
      <c r="N101" s="3690">
        <f t="shared" si="9"/>
        <v>1143.6733092184591</v>
      </c>
      <c r="O101" s="3690">
        <f t="shared" si="9"/>
        <v>274.35968043515214</v>
      </c>
      <c r="P101" s="3690">
        <f t="shared" si="9"/>
        <v>0</v>
      </c>
      <c r="Q101" s="3690">
        <f t="shared" si="9"/>
        <v>621.4187353412442</v>
      </c>
      <c r="R101" s="3664">
        <f t="shared" si="9"/>
        <v>920.34091805669118</v>
      </c>
    </row>
    <row r="102" spans="1:27" ht="21">
      <c r="A102" s="3662">
        <v>2010</v>
      </c>
      <c r="B102" s="3690">
        <f t="shared" si="9"/>
        <v>1463.2267052917132</v>
      </c>
      <c r="C102" s="3690">
        <f t="shared" si="9"/>
        <v>681.99968616730405</v>
      </c>
      <c r="D102" s="3690">
        <f t="shared" si="9"/>
        <v>1091.9217350931883</v>
      </c>
      <c r="E102" s="3690">
        <f t="shared" si="9"/>
        <v>778.78568687077438</v>
      </c>
      <c r="F102" s="3690">
        <f t="shared" si="9"/>
        <v>399.25337634930401</v>
      </c>
      <c r="G102" s="3690">
        <f t="shared" si="9"/>
        <v>1200.3413918040981</v>
      </c>
      <c r="H102" s="3690">
        <f t="shared" si="9"/>
        <v>1068.8853826214358</v>
      </c>
      <c r="I102" s="3690">
        <f t="shared" si="9"/>
        <v>1040.7979223349</v>
      </c>
      <c r="J102" s="3690">
        <f t="shared" si="9"/>
        <v>917.36613024656492</v>
      </c>
      <c r="K102" s="3690">
        <f t="shared" si="9"/>
        <v>1052.6455105191687</v>
      </c>
      <c r="L102" s="3690">
        <f t="shared" si="9"/>
        <v>1392.7498965374534</v>
      </c>
      <c r="M102" s="3690">
        <f t="shared" si="9"/>
        <v>979.58921443038071</v>
      </c>
      <c r="N102" s="3690">
        <f t="shared" si="9"/>
        <v>1197.8802250263352</v>
      </c>
      <c r="O102" s="3690">
        <f t="shared" si="9"/>
        <v>239.55615170840628</v>
      </c>
      <c r="P102" s="3690">
        <f t="shared" si="9"/>
        <v>0</v>
      </c>
      <c r="Q102" s="3690">
        <f t="shared" si="9"/>
        <v>643.11439359807775</v>
      </c>
      <c r="R102" s="3664">
        <f t="shared" si="9"/>
        <v>789.44806669144452</v>
      </c>
    </row>
    <row r="103" spans="1:27" ht="21">
      <c r="A103" s="3662">
        <v>2011</v>
      </c>
      <c r="B103" s="3690">
        <f t="shared" si="9"/>
        <v>1375.3100147184325</v>
      </c>
      <c r="C103" s="3690">
        <f t="shared" si="9"/>
        <v>826.27703317700275</v>
      </c>
      <c r="D103" s="3690">
        <f t="shared" si="9"/>
        <v>1154.656839997069</v>
      </c>
      <c r="E103" s="3690">
        <f t="shared" si="9"/>
        <v>760.51107080130146</v>
      </c>
      <c r="F103" s="3690">
        <f t="shared" si="9"/>
        <v>442.14197793471169</v>
      </c>
      <c r="G103" s="3690">
        <f t="shared" si="9"/>
        <v>1752.343664697449</v>
      </c>
      <c r="H103" s="3690">
        <f t="shared" si="9"/>
        <v>739.68365460786902</v>
      </c>
      <c r="I103" s="3690">
        <f t="shared" si="9"/>
        <v>753.30068370266213</v>
      </c>
      <c r="J103" s="3690">
        <f t="shared" si="9"/>
        <v>639.55216918053168</v>
      </c>
      <c r="K103" s="3690">
        <f t="shared" si="9"/>
        <v>773.99870334352147</v>
      </c>
      <c r="L103" s="3690">
        <f t="shared" si="9"/>
        <v>998.40864650577237</v>
      </c>
      <c r="M103" s="3690">
        <f t="shared" si="9"/>
        <v>652.87322846168979</v>
      </c>
      <c r="N103" s="3690">
        <f t="shared" si="9"/>
        <v>1283.2385661310259</v>
      </c>
      <c r="O103" s="3690">
        <f t="shared" si="9"/>
        <v>250.32704085913247</v>
      </c>
      <c r="P103" s="3690">
        <f t="shared" si="9"/>
        <v>0</v>
      </c>
      <c r="Q103" s="3690">
        <f t="shared" si="9"/>
        <v>636.42131250465559</v>
      </c>
      <c r="R103" s="3664">
        <f t="shared" si="9"/>
        <v>817.69333894905367</v>
      </c>
    </row>
    <row r="104" spans="1:27" ht="21">
      <c r="A104" s="3662">
        <v>2012</v>
      </c>
      <c r="B104" s="3690">
        <f t="shared" si="9"/>
        <v>1360.3748871380685</v>
      </c>
      <c r="C104" s="3690">
        <f t="shared" si="9"/>
        <v>811.34320056587183</v>
      </c>
      <c r="D104" s="3690">
        <f t="shared" si="9"/>
        <v>1085.3132403585471</v>
      </c>
      <c r="E104" s="3690">
        <f t="shared" si="9"/>
        <v>601.28401140191761</v>
      </c>
      <c r="F104" s="3690">
        <f t="shared" si="9"/>
        <v>422.84131711052498</v>
      </c>
      <c r="G104" s="3690">
        <f t="shared" si="9"/>
        <v>1020.1575226030953</v>
      </c>
      <c r="H104" s="3690">
        <f t="shared" si="9"/>
        <v>739.19883813044623</v>
      </c>
      <c r="I104" s="3690">
        <f t="shared" si="9"/>
        <v>882.41671919701321</v>
      </c>
      <c r="J104" s="3690">
        <f t="shared" si="9"/>
        <v>576.61972143856758</v>
      </c>
      <c r="K104" s="3690">
        <f t="shared" si="9"/>
        <v>789.69917569695303</v>
      </c>
      <c r="L104" s="3690">
        <f t="shared" si="9"/>
        <v>815.99121420726965</v>
      </c>
      <c r="M104" s="3690">
        <f t="shared" si="9"/>
        <v>611.05419746637187</v>
      </c>
      <c r="N104" s="3690">
        <f t="shared" si="9"/>
        <v>1168.7235703597682</v>
      </c>
      <c r="O104" s="3690">
        <f t="shared" si="9"/>
        <v>250.03070727410017</v>
      </c>
      <c r="P104" s="3690">
        <f t="shared" si="9"/>
        <v>0</v>
      </c>
      <c r="Q104" s="3690">
        <f t="shared" si="9"/>
        <v>575.92755365902974</v>
      </c>
      <c r="R104" s="3664">
        <f t="shared" si="9"/>
        <v>702.33641693003131</v>
      </c>
    </row>
    <row r="105" spans="1:27" ht="21">
      <c r="A105" s="3662">
        <v>2013</v>
      </c>
      <c r="B105" s="3690">
        <f t="shared" si="9"/>
        <v>1500.7997427366388</v>
      </c>
      <c r="C105" s="3690">
        <f t="shared" si="9"/>
        <v>848.32726198601051</v>
      </c>
      <c r="D105" s="3690">
        <f t="shared" si="9"/>
        <v>1087.715970984051</v>
      </c>
      <c r="E105" s="3690">
        <f t="shared" si="9"/>
        <v>701.02948374650884</v>
      </c>
      <c r="F105" s="3690">
        <f t="shared" si="9"/>
        <v>436.84856348733655</v>
      </c>
      <c r="G105" s="3690">
        <f t="shared" si="9"/>
        <v>695.43157819983037</v>
      </c>
      <c r="H105" s="3690">
        <f t="shared" si="9"/>
        <v>738.98177977290732</v>
      </c>
      <c r="I105" s="3690">
        <f t="shared" si="9"/>
        <v>881.56572758570542</v>
      </c>
      <c r="J105" s="3690">
        <f t="shared" si="9"/>
        <v>622.3917631117132</v>
      </c>
      <c r="K105" s="3690">
        <f t="shared" si="9"/>
        <v>789.82309900898406</v>
      </c>
      <c r="L105" s="3690">
        <f t="shared" si="9"/>
        <v>817.76551576353359</v>
      </c>
      <c r="M105" s="3690">
        <f t="shared" si="9"/>
        <v>759.09981672822573</v>
      </c>
      <c r="N105" s="3690">
        <f t="shared" si="9"/>
        <v>1174.4622061953398</v>
      </c>
      <c r="O105" s="3690">
        <f t="shared" si="9"/>
        <v>249.98271667086166</v>
      </c>
      <c r="P105" s="3690">
        <f t="shared" si="9"/>
        <v>0</v>
      </c>
      <c r="Q105" s="3690">
        <f t="shared" si="9"/>
        <v>576.76534749342898</v>
      </c>
      <c r="R105" s="3664">
        <f t="shared" si="9"/>
        <v>700.24292743216483</v>
      </c>
    </row>
    <row r="106" spans="1:27" ht="21">
      <c r="A106" s="3662">
        <v>2014</v>
      </c>
      <c r="B106" s="3690">
        <f t="shared" ref="B106:R107" si="10">B43/B83</f>
        <v>1368.5149225117807</v>
      </c>
      <c r="C106" s="3690">
        <f t="shared" si="10"/>
        <v>899.87599921978176</v>
      </c>
      <c r="D106" s="3690">
        <f t="shared" si="10"/>
        <v>1041.8483922405753</v>
      </c>
      <c r="E106" s="3690">
        <f t="shared" si="10"/>
        <v>689.02954133195135</v>
      </c>
      <c r="F106" s="3690">
        <f t="shared" si="10"/>
        <v>480.36548783361599</v>
      </c>
      <c r="G106" s="3690">
        <f t="shared" si="10"/>
        <v>774.85978647552156</v>
      </c>
      <c r="H106" s="3690">
        <f t="shared" si="10"/>
        <v>739.72326379720096</v>
      </c>
      <c r="I106" s="3690">
        <f t="shared" si="10"/>
        <v>870.63860738010965</v>
      </c>
      <c r="J106" s="3690">
        <f t="shared" si="10"/>
        <v>1463.3372830290218</v>
      </c>
      <c r="K106" s="3690">
        <f t="shared" si="10"/>
        <v>783.00842826711141</v>
      </c>
      <c r="L106" s="3690">
        <f t="shared" si="10"/>
        <v>795.28567219350168</v>
      </c>
      <c r="M106" s="3690">
        <f t="shared" si="10"/>
        <v>735.99539293526561</v>
      </c>
      <c r="N106" s="3690">
        <f t="shared" si="10"/>
        <v>991.52011673187906</v>
      </c>
      <c r="O106" s="3690">
        <f t="shared" si="10"/>
        <v>247.34994546522358</v>
      </c>
      <c r="P106" s="3690">
        <f t="shared" si="10"/>
        <v>666.90941861608667</v>
      </c>
      <c r="Q106" s="3690">
        <f t="shared" si="10"/>
        <v>565.09880497589734</v>
      </c>
      <c r="R106" s="3664">
        <f t="shared" si="10"/>
        <v>725.51913449005826</v>
      </c>
    </row>
    <row r="107" spans="1:27" ht="21">
      <c r="A107" s="3662">
        <v>2015</v>
      </c>
      <c r="B107" s="3690">
        <f t="shared" si="10"/>
        <v>1328.1396643207875</v>
      </c>
      <c r="C107" s="3690">
        <f t="shared" si="10"/>
        <v>855.58152742179743</v>
      </c>
      <c r="D107" s="3690">
        <f t="shared" si="10"/>
        <v>1042.1245078158872</v>
      </c>
      <c r="E107" s="3690">
        <f t="shared" si="10"/>
        <v>689.54061213325269</v>
      </c>
      <c r="F107" s="3690">
        <f t="shared" si="10"/>
        <v>473.76596714386301</v>
      </c>
      <c r="G107" s="3690">
        <f t="shared" si="10"/>
        <v>784.75175322222924</v>
      </c>
      <c r="H107" s="3690">
        <f t="shared" si="10"/>
        <v>658.05228412991812</v>
      </c>
      <c r="I107" s="3690">
        <f t="shared" si="10"/>
        <v>764.96775444891637</v>
      </c>
      <c r="J107" s="3690">
        <f t="shared" si="10"/>
        <v>1562.5653524250276</v>
      </c>
      <c r="K107" s="3690">
        <f t="shared" si="10"/>
        <v>715.6128554228028</v>
      </c>
      <c r="L107" s="3690">
        <f t="shared" si="10"/>
        <v>667.32810114376014</v>
      </c>
      <c r="M107" s="3690">
        <f t="shared" si="10"/>
        <v>752.61018918764375</v>
      </c>
      <c r="N107" s="3690">
        <f t="shared" si="10"/>
        <v>967.59110384118515</v>
      </c>
      <c r="O107" s="3690">
        <f t="shared" si="10"/>
        <v>248.08859803674804</v>
      </c>
      <c r="P107" s="3690">
        <f t="shared" si="10"/>
        <v>666.90941861608667</v>
      </c>
      <c r="Q107" s="3690">
        <f t="shared" si="10"/>
        <v>565.29247762655234</v>
      </c>
      <c r="R107" s="3664">
        <f t="shared" si="10"/>
        <v>714.83068205627092</v>
      </c>
    </row>
    <row r="108" spans="1:27" ht="21">
      <c r="A108" s="3662" t="s">
        <v>418</v>
      </c>
      <c r="B108" s="3666">
        <f>B107/B105-1</f>
        <v>-0.1150453811386013</v>
      </c>
      <c r="C108" s="3666">
        <f t="shared" ref="C108:Q108" si="11">C107/C105-1</f>
        <v>8.5512581769493501E-3</v>
      </c>
      <c r="D108" s="3666">
        <f t="shared" si="11"/>
        <v>-4.1914860482297978E-2</v>
      </c>
      <c r="E108" s="3666">
        <f t="shared" si="11"/>
        <v>-1.6388571207955782E-2</v>
      </c>
      <c r="F108" s="3666">
        <f t="shared" si="11"/>
        <v>8.450846985009397E-2</v>
      </c>
      <c r="G108" s="3666">
        <f t="shared" si="11"/>
        <v>0.12843848025079607</v>
      </c>
      <c r="H108" s="3666">
        <f t="shared" si="11"/>
        <v>-0.10951487284011141</v>
      </c>
      <c r="I108" s="3666">
        <f t="shared" si="11"/>
        <v>-0.13226237078897041</v>
      </c>
      <c r="J108" s="3666">
        <f t="shared" si="11"/>
        <v>1.5105816706391124</v>
      </c>
      <c r="K108" s="3666">
        <f t="shared" si="11"/>
        <v>-9.3958056784228305E-2</v>
      </c>
      <c r="L108" s="3666">
        <f t="shared" si="11"/>
        <v>-0.18396155342807852</v>
      </c>
      <c r="M108" s="3666">
        <f t="shared" si="11"/>
        <v>-8.5491096132163102E-3</v>
      </c>
      <c r="N108" s="3666">
        <f t="shared" si="11"/>
        <v>-0.17614113188393843</v>
      </c>
      <c r="O108" s="3666">
        <f t="shared" si="11"/>
        <v>-7.5769983594805579E-3</v>
      </c>
      <c r="P108" s="3666" t="e">
        <f t="shared" si="11"/>
        <v>#DIV/0!</v>
      </c>
      <c r="Q108" s="3666">
        <f t="shared" si="11"/>
        <v>-1.9891746126456278E-2</v>
      </c>
      <c r="R108" s="3667">
        <f>R107/R105-1</f>
        <v>2.0832419796941393E-2</v>
      </c>
      <c r="S108" s="3659"/>
      <c r="T108" s="3659"/>
      <c r="U108" s="3659"/>
      <c r="V108" s="3659"/>
      <c r="W108" s="3652"/>
      <c r="X108" s="3659"/>
      <c r="Y108" s="3659"/>
      <c r="Z108" s="3659"/>
      <c r="AA108" s="3659"/>
    </row>
    <row r="109" spans="1:27" ht="21">
      <c r="A109" s="3662" t="s">
        <v>419</v>
      </c>
      <c r="B109" s="3666">
        <f>B107/B103-1</f>
        <v>-3.4297976378294792E-2</v>
      </c>
      <c r="C109" s="3666">
        <f t="shared" ref="C109:R109" si="12">C107/C103-1</f>
        <v>3.5465701052006748E-2</v>
      </c>
      <c r="D109" s="3666">
        <f t="shared" si="12"/>
        <v>-9.745954666623502E-2</v>
      </c>
      <c r="E109" s="3666">
        <f t="shared" si="12"/>
        <v>-9.3319428727410614E-2</v>
      </c>
      <c r="F109" s="3666">
        <f>F107/F103-1</f>
        <v>7.1524512006007734E-2</v>
      </c>
      <c r="G109" s="3666">
        <f t="shared" si="12"/>
        <v>-0.55217017698539139</v>
      </c>
      <c r="H109" s="3666">
        <f t="shared" si="12"/>
        <v>-0.11035984095285489</v>
      </c>
      <c r="I109" s="3666">
        <f t="shared" si="12"/>
        <v>1.5487933302950951E-2</v>
      </c>
      <c r="J109" s="3666">
        <f t="shared" si="12"/>
        <v>1.4432179698915997</v>
      </c>
      <c r="K109" s="3666">
        <f t="shared" si="12"/>
        <v>-7.5434038414409876E-2</v>
      </c>
      <c r="L109" s="3666">
        <f t="shared" si="12"/>
        <v>-0.33160825131145144</v>
      </c>
      <c r="M109" s="3666">
        <f t="shared" si="12"/>
        <v>0.15276619775167655</v>
      </c>
      <c r="N109" s="3666">
        <f t="shared" si="12"/>
        <v>-0.24597722560779967</v>
      </c>
      <c r="O109" s="3666">
        <f t="shared" si="12"/>
        <v>-8.9420735958128938E-3</v>
      </c>
      <c r="P109" s="3666" t="e">
        <f t="shared" si="12"/>
        <v>#DIV/0!</v>
      </c>
      <c r="Q109" s="3666">
        <f t="shared" si="12"/>
        <v>-0.11176375379098091</v>
      </c>
      <c r="R109" s="3667">
        <f t="shared" si="12"/>
        <v>-0.12579612917599126</v>
      </c>
      <c r="S109" s="3659"/>
      <c r="T109" s="3659"/>
      <c r="U109" s="3659"/>
      <c r="V109" s="3659"/>
      <c r="W109" s="3652"/>
      <c r="X109" s="3659"/>
      <c r="Y109" s="3659"/>
      <c r="Z109" s="3659"/>
      <c r="AA109" s="3659"/>
    </row>
    <row r="110" spans="1:27" ht="21.6" thickBot="1">
      <c r="A110" s="3668" t="s">
        <v>420</v>
      </c>
      <c r="B110" s="3669">
        <f>B107/B99-1</f>
        <v>0.73446242924364769</v>
      </c>
      <c r="C110" s="3669">
        <f t="shared" ref="C110:R110" si="13">C107/C99-1</f>
        <v>0.27255096399085432</v>
      </c>
      <c r="D110" s="3669">
        <f t="shared" si="13"/>
        <v>0.11726274180515661</v>
      </c>
      <c r="E110" s="3669">
        <f t="shared" si="13"/>
        <v>-5.850424880838867E-4</v>
      </c>
      <c r="F110" s="3669">
        <f t="shared" si="13"/>
        <v>0.55793022020184768</v>
      </c>
      <c r="G110" s="3669">
        <f t="shared" si="13"/>
        <v>-0.30975677341889973</v>
      </c>
      <c r="H110" s="3669">
        <f t="shared" si="13"/>
        <v>-0.55175403784487775</v>
      </c>
      <c r="I110" s="3669">
        <f t="shared" si="13"/>
        <v>-0.40009541866998322</v>
      </c>
      <c r="J110" s="3669">
        <f t="shared" si="13"/>
        <v>0.3183683009527265</v>
      </c>
      <c r="K110" s="3669">
        <f t="shared" si="13"/>
        <v>-0.4351398779480834</v>
      </c>
      <c r="L110" s="3669">
        <f t="shared" si="13"/>
        <v>-0.56265190762367501</v>
      </c>
      <c r="M110" s="3669">
        <f t="shared" si="13"/>
        <v>-0.11488173004374669</v>
      </c>
      <c r="N110" s="3669">
        <f t="shared" si="13"/>
        <v>7.1015981226454805E-2</v>
      </c>
      <c r="O110" s="3669">
        <f t="shared" si="13"/>
        <v>-0.25403617869461759</v>
      </c>
      <c r="P110" s="3669" t="e">
        <f t="shared" si="13"/>
        <v>#DIV/0!</v>
      </c>
      <c r="Q110" s="3669">
        <f t="shared" si="13"/>
        <v>0.4329899259119443</v>
      </c>
      <c r="R110" s="3670">
        <f t="shared" si="13"/>
        <v>-1.6127827270385975E-2</v>
      </c>
      <c r="S110" s="3659"/>
      <c r="T110" s="3659"/>
      <c r="U110" s="3659"/>
      <c r="V110" s="3659"/>
      <c r="W110" s="3652"/>
      <c r="X110" s="3659"/>
      <c r="Y110" s="3659"/>
      <c r="Z110" s="3659"/>
      <c r="AA110" s="3659"/>
    </row>
    <row r="111" spans="1:27">
      <c r="A111" s="4506" t="s">
        <v>845</v>
      </c>
      <c r="B111" s="4507"/>
      <c r="C111" s="4507"/>
      <c r="D111" s="4507"/>
      <c r="E111" s="4507"/>
      <c r="F111" s="4507"/>
      <c r="G111" s="4507"/>
      <c r="H111" s="4507"/>
      <c r="I111" s="4507"/>
      <c r="J111" s="4507"/>
      <c r="K111" s="4507"/>
      <c r="L111" s="4507"/>
      <c r="M111" s="4507"/>
      <c r="N111" s="4507"/>
      <c r="O111" s="4507"/>
      <c r="P111" s="4507"/>
      <c r="Q111" s="4507"/>
      <c r="R111" s="4507"/>
    </row>
    <row r="112" spans="1:27">
      <c r="A112" s="3691" t="s">
        <v>441</v>
      </c>
    </row>
    <row r="114" spans="1:62" ht="18" hidden="1">
      <c r="B114" s="4497" t="s">
        <v>423</v>
      </c>
      <c r="C114" s="4498"/>
      <c r="D114" s="4498"/>
      <c r="E114" s="4498"/>
      <c r="F114" s="4498"/>
      <c r="G114" s="4498"/>
      <c r="H114" s="4498"/>
      <c r="I114" s="4498"/>
      <c r="J114" s="4498"/>
      <c r="K114" s="4498"/>
      <c r="L114" s="4499"/>
    </row>
    <row r="115" spans="1:62" ht="18" hidden="1">
      <c r="B115" s="3692" t="s">
        <v>424</v>
      </c>
      <c r="C115" s="3693">
        <v>1001937</v>
      </c>
      <c r="D115" s="3694"/>
      <c r="E115" s="3695" t="s">
        <v>425</v>
      </c>
      <c r="F115" s="3695"/>
      <c r="G115" s="3696" t="s">
        <v>426</v>
      </c>
      <c r="H115" s="3694"/>
      <c r="I115" s="3694"/>
      <c r="J115" s="3697"/>
      <c r="K115" s="3697" t="s">
        <v>427</v>
      </c>
      <c r="L115" s="3698">
        <f>F115/C115</f>
        <v>0</v>
      </c>
    </row>
    <row r="116" spans="1:62" ht="18" hidden="1">
      <c r="B116" s="3699" t="s">
        <v>428</v>
      </c>
      <c r="C116" s="3700">
        <v>1046227</v>
      </c>
      <c r="D116" s="3697"/>
      <c r="E116" s="3695" t="s">
        <v>429</v>
      </c>
      <c r="F116" s="3697">
        <v>6001588129.5500002</v>
      </c>
      <c r="G116" s="3697" t="s">
        <v>426</v>
      </c>
      <c r="H116" s="3697"/>
      <c r="I116" s="3697"/>
      <c r="J116" s="3697"/>
      <c r="K116" s="3697" t="s">
        <v>430</v>
      </c>
      <c r="L116" s="3698">
        <f t="shared" ref="L116:L118" si="14">F116/C116</f>
        <v>5736.4110556791211</v>
      </c>
    </row>
    <row r="117" spans="1:62" ht="18" hidden="1">
      <c r="B117" s="3699" t="s">
        <v>431</v>
      </c>
      <c r="C117" s="3700">
        <v>1046828</v>
      </c>
      <c r="D117" s="3697"/>
      <c r="E117" s="3695" t="s">
        <v>432</v>
      </c>
      <c r="F117" s="3697">
        <v>6475780993.3799963</v>
      </c>
      <c r="G117" s="3697" t="s">
        <v>426</v>
      </c>
      <c r="H117" s="3697"/>
      <c r="I117" s="3697"/>
      <c r="J117" s="3697"/>
      <c r="K117" s="3697" t="s">
        <v>433</v>
      </c>
      <c r="L117" s="3698">
        <f t="shared" si="14"/>
        <v>6186.0983785110793</v>
      </c>
    </row>
    <row r="118" spans="1:62" ht="18" hidden="1">
      <c r="B118" s="3699" t="s">
        <v>434</v>
      </c>
      <c r="C118" s="3700">
        <v>1047890</v>
      </c>
      <c r="D118" s="3697"/>
      <c r="E118" s="3695" t="s">
        <v>435</v>
      </c>
      <c r="F118" s="3697">
        <v>6255506948.0799999</v>
      </c>
      <c r="G118" s="3697" t="s">
        <v>436</v>
      </c>
      <c r="H118" s="3697"/>
      <c r="I118" s="3697"/>
      <c r="J118" s="3697"/>
      <c r="K118" s="3697" t="s">
        <v>437</v>
      </c>
      <c r="L118" s="3698">
        <f t="shared" si="14"/>
        <v>5969.6217619024901</v>
      </c>
    </row>
    <row r="119" spans="1:62" ht="18" hidden="1">
      <c r="B119" s="3701" t="s">
        <v>418</v>
      </c>
      <c r="C119" s="3702">
        <f>(C118-C117)/C117</f>
        <v>1.0144933074010248E-3</v>
      </c>
      <c r="D119" s="3697"/>
      <c r="E119" s="3703" t="s">
        <v>418</v>
      </c>
      <c r="F119" s="3702">
        <f>(F118-F117)/F117</f>
        <v>-3.4015054790329714E-2</v>
      </c>
      <c r="G119" s="3697"/>
      <c r="H119" s="3697"/>
      <c r="I119" s="3697"/>
      <c r="J119" s="3697"/>
      <c r="K119" s="3703" t="s">
        <v>418</v>
      </c>
      <c r="L119" s="3704">
        <f>(L118-L117)/L117</f>
        <v>-3.499404687138076E-2</v>
      </c>
    </row>
    <row r="120" spans="1:62" ht="18" hidden="1">
      <c r="B120" s="3701" t="s">
        <v>419</v>
      </c>
      <c r="C120" s="3702">
        <f>(C118-C116)/C116</f>
        <v>1.5895212033335022E-3</v>
      </c>
      <c r="D120" s="3697"/>
      <c r="E120" s="3703" t="s">
        <v>419</v>
      </c>
      <c r="F120" s="3702">
        <f>(F118-F116)/F116</f>
        <v>4.2308604497496329E-2</v>
      </c>
      <c r="G120" s="3697"/>
      <c r="H120" s="3697"/>
      <c r="I120" s="3697"/>
      <c r="J120" s="3697"/>
      <c r="K120" s="3703" t="s">
        <v>419</v>
      </c>
      <c r="L120" s="3704">
        <f>(L118-L116)/L116</f>
        <v>4.0654462164542306E-2</v>
      </c>
    </row>
    <row r="121" spans="1:62" ht="18.600000000000001" hidden="1" thickBot="1">
      <c r="B121" s="3705" t="s">
        <v>420</v>
      </c>
      <c r="C121" s="3706">
        <f>(C118-C115)/C115</f>
        <v>4.5864161119910735E-2</v>
      </c>
      <c r="D121" s="3707"/>
      <c r="E121" s="3708" t="s">
        <v>420</v>
      </c>
      <c r="F121" s="3706" t="e">
        <f>(F118-F115)/F115</f>
        <v>#DIV/0!</v>
      </c>
      <c r="G121" s="3707"/>
      <c r="H121" s="3707"/>
      <c r="I121" s="3707"/>
      <c r="J121" s="3707"/>
      <c r="K121" s="3708" t="s">
        <v>420</v>
      </c>
      <c r="L121" s="3709" t="e">
        <f>(L118-L115)/L115</f>
        <v>#DIV/0!</v>
      </c>
    </row>
    <row r="123" spans="1:62" s="3671" customFormat="1" hidden="1">
      <c r="A123" s="3657"/>
      <c r="C123" s="3710"/>
      <c r="F123" s="3711"/>
      <c r="R123" s="3656"/>
      <c r="S123" s="3647"/>
      <c r="T123" s="3647"/>
      <c r="U123" s="3647"/>
      <c r="V123" s="3647"/>
      <c r="W123" s="3647"/>
      <c r="X123" s="3647"/>
      <c r="Y123" s="3647"/>
      <c r="Z123" s="3647"/>
      <c r="AA123" s="3647"/>
      <c r="AB123" s="3647"/>
      <c r="AC123" s="3647"/>
      <c r="AD123" s="3647"/>
      <c r="AE123" s="3647"/>
      <c r="AF123" s="3647"/>
      <c r="AG123" s="3647"/>
      <c r="AH123" s="3647"/>
      <c r="AI123" s="3647"/>
      <c r="AJ123" s="3647"/>
      <c r="AK123" s="3647"/>
      <c r="AL123" s="3647"/>
      <c r="AM123" s="3647"/>
      <c r="AN123" s="3647"/>
      <c r="AO123" s="3647"/>
      <c r="AP123" s="3647"/>
      <c r="AQ123" s="3647"/>
      <c r="AR123" s="3647"/>
      <c r="AS123" s="3647"/>
      <c r="AT123" s="3647"/>
      <c r="AU123" s="3647"/>
      <c r="AV123" s="3647"/>
      <c r="AW123" s="3647"/>
      <c r="AX123" s="3647"/>
      <c r="AY123" s="3647"/>
      <c r="AZ123" s="3647"/>
      <c r="BA123" s="3647"/>
      <c r="BB123" s="3647"/>
      <c r="BC123" s="3647"/>
      <c r="BD123" s="3647"/>
      <c r="BE123" s="3647"/>
      <c r="BF123" s="3647"/>
      <c r="BG123" s="3647"/>
      <c r="BH123" s="3647"/>
      <c r="BI123" s="3647"/>
      <c r="BJ123" s="3647"/>
    </row>
    <row r="124" spans="1:62" s="3671" customFormat="1" hidden="1">
      <c r="A124" s="3657"/>
      <c r="R124" s="3656"/>
      <c r="S124" s="3647"/>
      <c r="T124" s="3647"/>
      <c r="U124" s="3647"/>
      <c r="V124" s="3647"/>
      <c r="W124" s="3647"/>
      <c r="X124" s="3647"/>
      <c r="Y124" s="3647"/>
      <c r="Z124" s="3647"/>
      <c r="AA124" s="3647"/>
      <c r="AB124" s="3647"/>
      <c r="AC124" s="3647"/>
      <c r="AD124" s="3647"/>
      <c r="AE124" s="3647"/>
      <c r="AF124" s="3647"/>
      <c r="AG124" s="3647"/>
      <c r="AH124" s="3647"/>
      <c r="AI124" s="3647"/>
      <c r="AJ124" s="3647"/>
      <c r="AK124" s="3647"/>
      <c r="AL124" s="3647"/>
      <c r="AM124" s="3647"/>
      <c r="AN124" s="3647"/>
      <c r="AO124" s="3647"/>
      <c r="AP124" s="3647"/>
      <c r="AQ124" s="3647"/>
      <c r="AR124" s="3647"/>
      <c r="AS124" s="3647"/>
      <c r="AT124" s="3647"/>
      <c r="AU124" s="3647"/>
      <c r="AV124" s="3647"/>
      <c r="AW124" s="3647"/>
      <c r="AX124" s="3647"/>
      <c r="AY124" s="3647"/>
      <c r="AZ124" s="3647"/>
      <c r="BA124" s="3647"/>
      <c r="BB124" s="3647"/>
      <c r="BC124" s="3647"/>
      <c r="BD124" s="3647"/>
      <c r="BE124" s="3647"/>
      <c r="BF124" s="3647"/>
      <c r="BG124" s="3647"/>
      <c r="BH124" s="3647"/>
      <c r="BI124" s="3647"/>
      <c r="BJ124" s="3647"/>
    </row>
    <row r="125" spans="1:62" s="3671" customFormat="1" hidden="1">
      <c r="A125" s="3657"/>
      <c r="C125" s="3711"/>
      <c r="R125" s="3656"/>
      <c r="S125" s="3647"/>
      <c r="T125" s="3647"/>
      <c r="U125" s="3647"/>
      <c r="V125" s="3647"/>
      <c r="W125" s="3647"/>
      <c r="X125" s="3647"/>
      <c r="Y125" s="3647"/>
      <c r="Z125" s="3647"/>
      <c r="AA125" s="3647"/>
      <c r="AB125" s="3647"/>
      <c r="AC125" s="3647"/>
      <c r="AD125" s="3647"/>
      <c r="AE125" s="3647"/>
      <c r="AF125" s="3647"/>
      <c r="AG125" s="3647"/>
      <c r="AH125" s="3647"/>
      <c r="AI125" s="3647"/>
      <c r="AJ125" s="3647"/>
      <c r="AK125" s="3647"/>
      <c r="AL125" s="3647"/>
      <c r="AM125" s="3647"/>
      <c r="AN125" s="3647"/>
      <c r="AO125" s="3647"/>
      <c r="AP125" s="3647"/>
      <c r="AQ125" s="3647"/>
      <c r="AR125" s="3647"/>
      <c r="AS125" s="3647"/>
      <c r="AT125" s="3647"/>
      <c r="AU125" s="3647"/>
      <c r="AV125" s="3647"/>
      <c r="AW125" s="3647"/>
      <c r="AX125" s="3647"/>
      <c r="AY125" s="3647"/>
      <c r="AZ125" s="3647"/>
      <c r="BA125" s="3647"/>
      <c r="BB125" s="3647"/>
      <c r="BC125" s="3647"/>
      <c r="BD125" s="3647"/>
      <c r="BE125" s="3647"/>
      <c r="BF125" s="3647"/>
      <c r="BG125" s="3647"/>
      <c r="BH125" s="3647"/>
      <c r="BI125" s="3647"/>
      <c r="BJ125" s="3647"/>
    </row>
    <row r="126" spans="1:62" s="3671" customFormat="1" hidden="1">
      <c r="A126" s="3657"/>
      <c r="R126" s="3656"/>
      <c r="S126" s="3647"/>
      <c r="T126" s="3647"/>
      <c r="U126" s="3647"/>
      <c r="V126" s="3647"/>
      <c r="W126" s="3647"/>
      <c r="X126" s="3647"/>
      <c r="Y126" s="3647"/>
      <c r="Z126" s="3647"/>
      <c r="AA126" s="3647"/>
      <c r="AB126" s="3647"/>
      <c r="AC126" s="3647"/>
      <c r="AD126" s="3647"/>
      <c r="AE126" s="3647"/>
      <c r="AF126" s="3647"/>
      <c r="AG126" s="3647"/>
      <c r="AH126" s="3647"/>
      <c r="AI126" s="3647"/>
      <c r="AJ126" s="3647"/>
      <c r="AK126" s="3647"/>
      <c r="AL126" s="3647"/>
      <c r="AM126" s="3647"/>
      <c r="AN126" s="3647"/>
      <c r="AO126" s="3647"/>
      <c r="AP126" s="3647"/>
      <c r="AQ126" s="3647"/>
      <c r="AR126" s="3647"/>
      <c r="AS126" s="3647"/>
      <c r="AT126" s="3647"/>
      <c r="AU126" s="3647"/>
      <c r="AV126" s="3647"/>
      <c r="AW126" s="3647"/>
      <c r="AX126" s="3647"/>
      <c r="AY126" s="3647"/>
      <c r="AZ126" s="3647"/>
      <c r="BA126" s="3647"/>
      <c r="BB126" s="3647"/>
      <c r="BC126" s="3647"/>
      <c r="BD126" s="3647"/>
      <c r="BE126" s="3647"/>
      <c r="BF126" s="3647"/>
      <c r="BG126" s="3647"/>
      <c r="BH126" s="3647"/>
      <c r="BI126" s="3647"/>
      <c r="BJ126" s="3647"/>
    </row>
    <row r="127" spans="1:62" s="3671" customFormat="1" hidden="1">
      <c r="A127" s="3657"/>
      <c r="R127" s="3656"/>
      <c r="S127" s="3647"/>
      <c r="T127" s="3647"/>
      <c r="U127" s="3647"/>
      <c r="V127" s="3647"/>
      <c r="W127" s="3647"/>
      <c r="X127" s="3647"/>
      <c r="Y127" s="3647"/>
      <c r="Z127" s="3647"/>
      <c r="AA127" s="3647"/>
      <c r="AB127" s="3647"/>
      <c r="AC127" s="3647"/>
      <c r="AD127" s="3647"/>
      <c r="AE127" s="3647"/>
      <c r="AF127" s="3647"/>
      <c r="AG127" s="3647"/>
      <c r="AH127" s="3647"/>
      <c r="AI127" s="3647"/>
      <c r="AJ127" s="3647"/>
      <c r="AK127" s="3647"/>
      <c r="AL127" s="3647"/>
      <c r="AM127" s="3647"/>
      <c r="AN127" s="3647"/>
      <c r="AO127" s="3647"/>
      <c r="AP127" s="3647"/>
      <c r="AQ127" s="3647"/>
      <c r="AR127" s="3647"/>
      <c r="AS127" s="3647"/>
      <c r="AT127" s="3647"/>
      <c r="AU127" s="3647"/>
      <c r="AV127" s="3647"/>
      <c r="AW127" s="3647"/>
      <c r="AX127" s="3647"/>
      <c r="AY127" s="3647"/>
      <c r="AZ127" s="3647"/>
      <c r="BA127" s="3647"/>
      <c r="BB127" s="3647"/>
      <c r="BC127" s="3647"/>
      <c r="BD127" s="3647"/>
      <c r="BE127" s="3647"/>
      <c r="BF127" s="3647"/>
      <c r="BG127" s="3647"/>
      <c r="BH127" s="3647"/>
      <c r="BI127" s="3647"/>
      <c r="BJ127" s="3647"/>
    </row>
    <row r="128" spans="1:62" s="3671" customFormat="1" hidden="1">
      <c r="A128" s="3657"/>
      <c r="R128" s="3656"/>
      <c r="S128" s="3647"/>
      <c r="T128" s="3647"/>
      <c r="U128" s="3647"/>
      <c r="V128" s="3647"/>
      <c r="W128" s="3647"/>
      <c r="X128" s="3647"/>
      <c r="Y128" s="3647"/>
      <c r="Z128" s="3647"/>
      <c r="AA128" s="3647"/>
      <c r="AB128" s="3647"/>
      <c r="AC128" s="3647"/>
      <c r="AD128" s="3647"/>
      <c r="AE128" s="3647"/>
      <c r="AF128" s="3647"/>
      <c r="AG128" s="3647"/>
      <c r="AH128" s="3647"/>
      <c r="AI128" s="3647"/>
      <c r="AJ128" s="3647"/>
      <c r="AK128" s="3647"/>
      <c r="AL128" s="3647"/>
      <c r="AM128" s="3647"/>
      <c r="AN128" s="3647"/>
      <c r="AO128" s="3647"/>
      <c r="AP128" s="3647"/>
      <c r="AQ128" s="3647"/>
      <c r="AR128" s="3647"/>
      <c r="AS128" s="3647"/>
      <c r="AT128" s="3647"/>
      <c r="AU128" s="3647"/>
      <c r="AV128" s="3647"/>
      <c r="AW128" s="3647"/>
      <c r="AX128" s="3647"/>
      <c r="AY128" s="3647"/>
      <c r="AZ128" s="3647"/>
      <c r="BA128" s="3647"/>
      <c r="BB128" s="3647"/>
      <c r="BC128" s="3647"/>
      <c r="BD128" s="3647"/>
      <c r="BE128" s="3647"/>
      <c r="BF128" s="3647"/>
      <c r="BG128" s="3647"/>
      <c r="BH128" s="3647"/>
      <c r="BI128" s="3647"/>
      <c r="BJ128" s="3647"/>
    </row>
    <row r="129" spans="1:62" s="3671" customFormat="1" hidden="1">
      <c r="A129" s="3657"/>
      <c r="R129" s="3656"/>
      <c r="S129" s="3647"/>
      <c r="T129" s="3647"/>
      <c r="U129" s="3647"/>
      <c r="V129" s="3647"/>
      <c r="W129" s="3647"/>
      <c r="X129" s="3647"/>
      <c r="Y129" s="3647"/>
      <c r="Z129" s="3647"/>
      <c r="AA129" s="3647"/>
      <c r="AB129" s="3647"/>
      <c r="AC129" s="3647"/>
      <c r="AD129" s="3647"/>
      <c r="AE129" s="3647"/>
      <c r="AF129" s="3647"/>
      <c r="AG129" s="3647"/>
      <c r="AH129" s="3647"/>
      <c r="AI129" s="3647"/>
      <c r="AJ129" s="3647"/>
      <c r="AK129" s="3647"/>
      <c r="AL129" s="3647"/>
      <c r="AM129" s="3647"/>
      <c r="AN129" s="3647"/>
      <c r="AO129" s="3647"/>
      <c r="AP129" s="3647"/>
      <c r="AQ129" s="3647"/>
      <c r="AR129" s="3647"/>
      <c r="AS129" s="3647"/>
      <c r="AT129" s="3647"/>
      <c r="AU129" s="3647"/>
      <c r="AV129" s="3647"/>
      <c r="AW129" s="3647"/>
      <c r="AX129" s="3647"/>
      <c r="AY129" s="3647"/>
      <c r="AZ129" s="3647"/>
      <c r="BA129" s="3647"/>
      <c r="BB129" s="3647"/>
      <c r="BC129" s="3647"/>
      <c r="BD129" s="3647"/>
      <c r="BE129" s="3647"/>
      <c r="BF129" s="3647"/>
      <c r="BG129" s="3647"/>
      <c r="BH129" s="3647"/>
      <c r="BI129" s="3647"/>
      <c r="BJ129" s="3647"/>
    </row>
    <row r="130" spans="1:62" s="3671" customFormat="1" hidden="1">
      <c r="A130" s="3712">
        <v>183.96</v>
      </c>
      <c r="B130" s="3712">
        <v>188.9</v>
      </c>
      <c r="C130" s="3712">
        <v>195.3</v>
      </c>
      <c r="D130" s="3712">
        <v>201.6</v>
      </c>
      <c r="E130" s="3712">
        <v>207.34200000000001</v>
      </c>
      <c r="F130" s="3712">
        <v>215.303</v>
      </c>
      <c r="G130" s="3712">
        <v>214.53700000000001</v>
      </c>
      <c r="H130" s="3712">
        <v>218.05600000000001</v>
      </c>
      <c r="I130" s="3712">
        <v>224.93899999999999</v>
      </c>
      <c r="R130" s="3656"/>
      <c r="S130" s="3647"/>
      <c r="T130" s="3647"/>
      <c r="U130" s="3647"/>
      <c r="V130" s="3647"/>
      <c r="W130" s="3647"/>
      <c r="X130" s="3647"/>
      <c r="Y130" s="3647"/>
      <c r="Z130" s="3647"/>
      <c r="AA130" s="3647"/>
      <c r="AB130" s="3647"/>
      <c r="AC130" s="3647"/>
      <c r="AD130" s="3647"/>
      <c r="AE130" s="3647"/>
      <c r="AF130" s="3647"/>
      <c r="AG130" s="3647"/>
      <c r="AH130" s="3647"/>
      <c r="AI130" s="3647"/>
      <c r="AJ130" s="3647"/>
      <c r="AK130" s="3647"/>
      <c r="AL130" s="3647"/>
      <c r="AM130" s="3647"/>
      <c r="AN130" s="3647"/>
      <c r="AO130" s="3647"/>
      <c r="AP130" s="3647"/>
      <c r="AQ130" s="3647"/>
      <c r="AR130" s="3647"/>
      <c r="AS130" s="3647"/>
      <c r="AT130" s="3647"/>
      <c r="AU130" s="3647"/>
      <c r="AV130" s="3647"/>
      <c r="AW130" s="3647"/>
      <c r="AX130" s="3647"/>
      <c r="AY130" s="3647"/>
      <c r="AZ130" s="3647"/>
      <c r="BA130" s="3647"/>
      <c r="BB130" s="3647"/>
      <c r="BC130" s="3647"/>
      <c r="BD130" s="3647"/>
      <c r="BE130" s="3647"/>
      <c r="BF130" s="3647"/>
      <c r="BG130" s="3647"/>
      <c r="BH130" s="3647"/>
      <c r="BI130" s="3647"/>
      <c r="BJ130" s="3647"/>
    </row>
    <row r="131" spans="1:62" s="3671" customFormat="1" hidden="1">
      <c r="A131" s="3657"/>
      <c r="R131" s="3656"/>
      <c r="S131" s="3647"/>
      <c r="T131" s="3647"/>
      <c r="U131" s="3647"/>
      <c r="V131" s="3647"/>
      <c r="W131" s="3647"/>
      <c r="X131" s="3647"/>
      <c r="Y131" s="3647"/>
      <c r="Z131" s="3647"/>
      <c r="AA131" s="3647"/>
      <c r="AB131" s="3647"/>
      <c r="AC131" s="3647"/>
      <c r="AD131" s="3647"/>
      <c r="AE131" s="3647"/>
      <c r="AF131" s="3647"/>
      <c r="AG131" s="3647"/>
      <c r="AH131" s="3647"/>
      <c r="AI131" s="3647"/>
      <c r="AJ131" s="3647"/>
      <c r="AK131" s="3647"/>
      <c r="AL131" s="3647"/>
      <c r="AM131" s="3647"/>
      <c r="AN131" s="3647"/>
      <c r="AO131" s="3647"/>
      <c r="AP131" s="3647"/>
      <c r="AQ131" s="3647"/>
      <c r="AR131" s="3647"/>
      <c r="AS131" s="3647"/>
      <c r="AT131" s="3647"/>
      <c r="AU131" s="3647"/>
      <c r="AV131" s="3647"/>
      <c r="AW131" s="3647"/>
      <c r="AX131" s="3647"/>
      <c r="AY131" s="3647"/>
      <c r="AZ131" s="3647"/>
      <c r="BA131" s="3647"/>
      <c r="BB131" s="3647"/>
      <c r="BC131" s="3647"/>
      <c r="BD131" s="3647"/>
      <c r="BE131" s="3647"/>
      <c r="BF131" s="3647"/>
      <c r="BG131" s="3647"/>
      <c r="BH131" s="3647"/>
      <c r="BI131" s="3647"/>
      <c r="BJ131" s="3647"/>
    </row>
  </sheetData>
  <mergeCells count="7">
    <mergeCell ref="B114:L114"/>
    <mergeCell ref="A1:R1"/>
    <mergeCell ref="A2:R2"/>
    <mergeCell ref="A4:R4"/>
    <mergeCell ref="A66:R66"/>
    <mergeCell ref="A89:R89"/>
    <mergeCell ref="A111:R111"/>
  </mergeCells>
  <printOptions horizontalCentered="1" verticalCentered="1"/>
  <pageMargins left="0.27" right="0.21" top="0.31" bottom="0.16" header="0.3" footer="0.16"/>
  <pageSetup paperSize="5" scale="47" orientation="landscape" r:id="rId1"/>
  <headerFooter>
    <oddFooter>&amp;LHouse Ways and Means Cmte Amendment 1001 2-14-13&amp;R&amp;D</oddFooter>
  </headerFooter>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6"/>
  <sheetViews>
    <sheetView workbookViewId="0">
      <selection activeCell="A2" sqref="A2"/>
    </sheetView>
  </sheetViews>
  <sheetFormatPr defaultColWidth="9.109375" defaultRowHeight="14.4"/>
  <cols>
    <col min="1" max="1" width="18.33203125" style="4269" customWidth="1"/>
    <col min="2" max="11" width="15.33203125" style="4269" bestFit="1" customWidth="1"/>
    <col min="12" max="15" width="15.33203125" style="4270" bestFit="1" customWidth="1"/>
    <col min="16" max="17" width="15.33203125" style="4269" bestFit="1" customWidth="1"/>
    <col min="18" max="16384" width="9.109375" style="4269"/>
  </cols>
  <sheetData>
    <row r="1" spans="1:17" ht="15" thickBot="1">
      <c r="A1" s="4350" t="s">
        <v>881</v>
      </c>
    </row>
    <row r="2" spans="1:17" ht="15.6">
      <c r="A2" s="4417" t="s">
        <v>970</v>
      </c>
      <c r="P2" s="4508" t="s">
        <v>856</v>
      </c>
      <c r="Q2" s="4509"/>
    </row>
    <row r="3" spans="1:17" s="4271" customFormat="1" ht="15" thickBot="1">
      <c r="B3" s="4272">
        <v>2000</v>
      </c>
      <c r="C3" s="4272">
        <v>2001</v>
      </c>
      <c r="D3" s="4272">
        <v>2002</v>
      </c>
      <c r="E3" s="4272">
        <v>2003</v>
      </c>
      <c r="F3" s="4272">
        <v>2004</v>
      </c>
      <c r="G3" s="4272">
        <v>2005</v>
      </c>
      <c r="H3" s="4272">
        <v>2006</v>
      </c>
      <c r="I3" s="4272">
        <v>2007</v>
      </c>
      <c r="J3" s="4272">
        <v>2008</v>
      </c>
      <c r="K3" s="4272">
        <v>2009</v>
      </c>
      <c r="L3" s="4273">
        <v>2010</v>
      </c>
      <c r="M3" s="4272">
        <v>2011</v>
      </c>
      <c r="N3" s="4273">
        <v>2012</v>
      </c>
      <c r="O3" s="4272">
        <v>2013</v>
      </c>
      <c r="P3" s="4311" t="s">
        <v>879</v>
      </c>
      <c r="Q3" s="4312" t="s">
        <v>880</v>
      </c>
    </row>
    <row r="4" spans="1:17" s="4277" customFormat="1">
      <c r="A4" s="4274" t="s">
        <v>263</v>
      </c>
      <c r="B4" s="4275">
        <f>B6/(B5+B6)</f>
        <v>8.2555456526549789E-2</v>
      </c>
      <c r="C4" s="4275">
        <f>C6/(C5+C6)</f>
        <v>8.4318871699391146E-2</v>
      </c>
      <c r="D4" s="4275">
        <f>D6/(D5+D6)</f>
        <v>8.173428602163213E-2</v>
      </c>
      <c r="E4" s="4275">
        <f>E6/(E5+E6)</f>
        <v>7.868413057616036E-2</v>
      </c>
      <c r="F4" s="4275">
        <f t="shared" ref="F4:O4" si="0">F6/(F5+F6)</f>
        <v>7.7643676757848307E-2</v>
      </c>
      <c r="G4" s="4275">
        <f t="shared" si="0"/>
        <v>7.7067234982373375E-2</v>
      </c>
      <c r="H4" s="4275">
        <f t="shared" si="0"/>
        <v>8.6942527483360371E-2</v>
      </c>
      <c r="I4" s="4275">
        <f t="shared" si="0"/>
        <v>0.1135497512809053</v>
      </c>
      <c r="J4" s="4275">
        <f t="shared" si="0"/>
        <v>0.11353493333747539</v>
      </c>
      <c r="K4" s="4275">
        <f t="shared" si="0"/>
        <v>0.11439322818281811</v>
      </c>
      <c r="L4" s="4275">
        <f t="shared" si="0"/>
        <v>0.12128005701175813</v>
      </c>
      <c r="M4" s="4275">
        <f t="shared" si="0"/>
        <v>0.17154195633428906</v>
      </c>
      <c r="N4" s="4275">
        <f t="shared" si="0"/>
        <v>0.11308213841041187</v>
      </c>
      <c r="O4" s="4276">
        <f t="shared" si="0"/>
        <v>7.9965370940553893E-2</v>
      </c>
      <c r="P4" s="4301">
        <f t="shared" ref="P4:Q4" si="1">P6/(P5+P6)</f>
        <v>8.6316031038962737E-2</v>
      </c>
      <c r="Q4" s="4301">
        <f t="shared" si="1"/>
        <v>8.7321731611732054E-2</v>
      </c>
    </row>
    <row r="5" spans="1:17">
      <c r="A5" s="4278" t="s">
        <v>846</v>
      </c>
      <c r="B5" s="4279">
        <v>176299516</v>
      </c>
      <c r="C5" s="4279">
        <v>181348752</v>
      </c>
      <c r="D5" s="4279">
        <v>183087616</v>
      </c>
      <c r="E5" s="4279">
        <v>190985943</v>
      </c>
      <c r="F5" s="4279">
        <f>189312508+2500000</f>
        <v>191812508</v>
      </c>
      <c r="G5" s="4279">
        <f>191651210+3600000</f>
        <v>195251210</v>
      </c>
      <c r="H5" s="4279">
        <v>192152673</v>
      </c>
      <c r="I5" s="4279">
        <v>191855234</v>
      </c>
      <c r="J5" s="4279">
        <v>193813007</v>
      </c>
      <c r="K5" s="4279">
        <v>202202196</v>
      </c>
      <c r="L5" s="4279">
        <v>194908592</v>
      </c>
      <c r="M5" s="4279">
        <v>190670086</v>
      </c>
      <c r="N5" s="4279">
        <v>180268458.2526556</v>
      </c>
      <c r="O5" s="4280">
        <v>180268458.2526556</v>
      </c>
      <c r="P5" s="4302">
        <f>'OVERALL HE BUDGET SUMMARY'!I8</f>
        <v>184795241.73316666</v>
      </c>
      <c r="Q5" s="4302">
        <f>'OVERALL HE BUDGET SUMMARY'!K8</f>
        <v>184795241.73316666</v>
      </c>
    </row>
    <row r="6" spans="1:17">
      <c r="A6" s="4278" t="s">
        <v>847</v>
      </c>
      <c r="B6" s="4279">
        <v>15864160</v>
      </c>
      <c r="C6" s="4279">
        <v>16699178</v>
      </c>
      <c r="D6" s="4279">
        <v>16296520</v>
      </c>
      <c r="E6" s="4279">
        <v>16310978</v>
      </c>
      <c r="F6" s="4279">
        <v>16146719</v>
      </c>
      <c r="G6" s="4279">
        <v>16303973</v>
      </c>
      <c r="H6" s="4279">
        <v>18297029</v>
      </c>
      <c r="I6" s="4279">
        <v>24575676</v>
      </c>
      <c r="J6" s="4279">
        <v>24822802</v>
      </c>
      <c r="K6" s="4279">
        <v>26118321</v>
      </c>
      <c r="L6" s="4279">
        <v>26901091</v>
      </c>
      <c r="M6" s="4279">
        <v>39480478</v>
      </c>
      <c r="N6" s="4279">
        <v>22984251</v>
      </c>
      <c r="O6" s="4280">
        <v>15668143</v>
      </c>
      <c r="P6" s="4302">
        <f>'OVERALL HE BUDGET SUMMARY'!I9</f>
        <v>17457668.475272149</v>
      </c>
      <c r="Q6" s="4302">
        <f>'OVERALL HE BUDGET SUMMARY'!K9</f>
        <v>17680535.475272149</v>
      </c>
    </row>
    <row r="7" spans="1:17" s="4277" customFormat="1">
      <c r="A7" s="4281" t="s">
        <v>265</v>
      </c>
      <c r="B7" s="4282">
        <f>B9/(B8+B9)</f>
        <v>0.16207447198900093</v>
      </c>
      <c r="C7" s="4282">
        <f>C9/(C8+C9)</f>
        <v>0.16276684743167696</v>
      </c>
      <c r="D7" s="4282">
        <f>D9/(D8+D9)</f>
        <v>0.19457719239564242</v>
      </c>
      <c r="E7" s="4282">
        <f>E9/(E8+E9)</f>
        <v>0.1926799244362464</v>
      </c>
      <c r="F7" s="4282">
        <f t="shared" ref="F7:O7" si="2">F9/(F8+F9)</f>
        <v>0.19727109589053077</v>
      </c>
      <c r="G7" s="4282">
        <f t="shared" si="2"/>
        <v>0.19262067201698707</v>
      </c>
      <c r="H7" s="4282">
        <f t="shared" si="2"/>
        <v>0.1992244393622303</v>
      </c>
      <c r="I7" s="4282">
        <f t="shared" si="2"/>
        <v>0.2078069355354904</v>
      </c>
      <c r="J7" s="4282">
        <f t="shared" si="2"/>
        <v>0.20317968944779854</v>
      </c>
      <c r="K7" s="4282">
        <f t="shared" si="2"/>
        <v>0.19391107770919924</v>
      </c>
      <c r="L7" s="4282">
        <f t="shared" si="2"/>
        <v>0.19207519840964452</v>
      </c>
      <c r="M7" s="4282">
        <f t="shared" si="2"/>
        <v>0.15065632625102779</v>
      </c>
      <c r="N7" s="4282">
        <f t="shared" si="2"/>
        <v>0.14384250524837719</v>
      </c>
      <c r="O7" s="4283">
        <f t="shared" si="2"/>
        <v>0.14380634141312376</v>
      </c>
      <c r="P7" s="4303">
        <f t="shared" ref="P7:Q7" si="3">P9/(P8+P9)</f>
        <v>0.13481497348023491</v>
      </c>
      <c r="Q7" s="4303">
        <f t="shared" si="3"/>
        <v>0.12174247811394311</v>
      </c>
    </row>
    <row r="8" spans="1:17">
      <c r="A8" s="4278" t="s">
        <v>846</v>
      </c>
      <c r="B8" s="4279">
        <v>6930079</v>
      </c>
      <c r="C8" s="4279">
        <v>7128512</v>
      </c>
      <c r="D8" s="4279">
        <v>7069763</v>
      </c>
      <c r="E8" s="4279">
        <v>7178766</v>
      </c>
      <c r="F8" s="4279">
        <v>7343242</v>
      </c>
      <c r="G8" s="4279">
        <v>7598569</v>
      </c>
      <c r="H8" s="4279">
        <v>7570790</v>
      </c>
      <c r="I8" s="4279">
        <v>7725382</v>
      </c>
      <c r="J8" s="4279">
        <v>7993189</v>
      </c>
      <c r="K8" s="4279">
        <v>8322137</v>
      </c>
      <c r="L8" s="4279">
        <v>7978684</v>
      </c>
      <c r="M8" s="4279">
        <v>7896005</v>
      </c>
      <c r="N8" s="4279">
        <v>8330920.8712840294</v>
      </c>
      <c r="O8" s="4280">
        <v>8330920.8712840294</v>
      </c>
      <c r="P8" s="4302">
        <f>'OVERALL HE BUDGET SUMMARY'!I13</f>
        <v>8988877.2669083327</v>
      </c>
      <c r="Q8" s="4302">
        <f>'OVERALL HE BUDGET SUMMARY'!K13</f>
        <v>8988877.2669083327</v>
      </c>
    </row>
    <row r="9" spans="1:17">
      <c r="A9" s="4278" t="s">
        <v>847</v>
      </c>
      <c r="B9" s="4279">
        <v>1340440</v>
      </c>
      <c r="C9" s="4279">
        <v>1385857</v>
      </c>
      <c r="D9" s="4279">
        <v>1707941</v>
      </c>
      <c r="E9" s="4279">
        <v>1713328</v>
      </c>
      <c r="F9" s="4279">
        <v>1804606</v>
      </c>
      <c r="G9" s="4279">
        <v>1812830</v>
      </c>
      <c r="H9" s="4279">
        <v>1883532</v>
      </c>
      <c r="I9" s="4279">
        <v>2026511</v>
      </c>
      <c r="J9" s="4279">
        <v>2038168</v>
      </c>
      <c r="K9" s="4279">
        <v>2001956</v>
      </c>
      <c r="L9" s="4279">
        <v>1896844</v>
      </c>
      <c r="M9" s="4279">
        <v>1400591</v>
      </c>
      <c r="N9" s="4279">
        <v>1399673</v>
      </c>
      <c r="O9" s="4280">
        <v>1399262</v>
      </c>
      <c r="P9" s="4302">
        <f>'OVERALL HE BUDGET SUMMARY'!I14</f>
        <v>1400666</v>
      </c>
      <c r="Q9" s="4302">
        <f>'OVERALL HE BUDGET SUMMARY'!K14</f>
        <v>1246022</v>
      </c>
    </row>
    <row r="10" spans="1:17" s="4277" customFormat="1">
      <c r="A10" s="4281" t="s">
        <v>264</v>
      </c>
      <c r="B10" s="4282">
        <f>B12/(B11+B12)</f>
        <v>0.14771652071975672</v>
      </c>
      <c r="C10" s="4282">
        <f>C12/(C11+C12)</f>
        <v>0.14803166615671867</v>
      </c>
      <c r="D10" s="4282">
        <f>D12/(D11+D12)</f>
        <v>0.16953922589978038</v>
      </c>
      <c r="E10" s="4282">
        <f>E12/(E11+E12)</f>
        <v>0.16809559057239773</v>
      </c>
      <c r="F10" s="4282">
        <f t="shared" ref="F10:O10" si="4">F12/(F11+F12)</f>
        <v>0.16867736731335425</v>
      </c>
      <c r="G10" s="4282">
        <f t="shared" si="4"/>
        <v>0.16748960291176171</v>
      </c>
      <c r="H10" s="4282">
        <f t="shared" si="4"/>
        <v>0.18155455879054525</v>
      </c>
      <c r="I10" s="4282">
        <f t="shared" si="4"/>
        <v>0.19326829066169657</v>
      </c>
      <c r="J10" s="4282">
        <f t="shared" si="4"/>
        <v>0.18776351239282171</v>
      </c>
      <c r="K10" s="4282">
        <f t="shared" si="4"/>
        <v>0.17857856102007794</v>
      </c>
      <c r="L10" s="4282">
        <f t="shared" si="4"/>
        <v>0.16813576913831549</v>
      </c>
      <c r="M10" s="4282">
        <f t="shared" si="4"/>
        <v>0.13055409681410027</v>
      </c>
      <c r="N10" s="4282">
        <f t="shared" si="4"/>
        <v>0.13813119527996895</v>
      </c>
      <c r="O10" s="4283">
        <f t="shared" si="4"/>
        <v>0.13801636872385897</v>
      </c>
      <c r="P10" s="4303">
        <f t="shared" ref="P10:Q10" si="5">P12/(P11+P12)</f>
        <v>0.12954203856855892</v>
      </c>
      <c r="Q10" s="4303">
        <f t="shared" si="5"/>
        <v>0.11563744287539746</v>
      </c>
    </row>
    <row r="11" spans="1:17">
      <c r="A11" s="4278" t="s">
        <v>846</v>
      </c>
      <c r="B11" s="4279">
        <v>9468849</v>
      </c>
      <c r="C11" s="4279">
        <v>9765221</v>
      </c>
      <c r="D11" s="4279">
        <v>9887941</v>
      </c>
      <c r="E11" s="4279">
        <v>10021712</v>
      </c>
      <c r="F11" s="4279">
        <v>9968950</v>
      </c>
      <c r="G11" s="4279">
        <v>10099818</v>
      </c>
      <c r="H11" s="4279">
        <v>10162502</v>
      </c>
      <c r="I11" s="4279">
        <v>10124249</v>
      </c>
      <c r="J11" s="4279">
        <v>10357262</v>
      </c>
      <c r="K11" s="4279">
        <v>10817455</v>
      </c>
      <c r="L11" s="4279">
        <v>10409563</v>
      </c>
      <c r="M11" s="4279">
        <v>10345995</v>
      </c>
      <c r="N11" s="4279">
        <v>11354681.631480796</v>
      </c>
      <c r="O11" s="4280">
        <v>11354681.631480796</v>
      </c>
      <c r="P11" s="4302">
        <f>'OVERALL HE BUDGET SUMMARY'!I18</f>
        <v>12064986.434239998</v>
      </c>
      <c r="Q11" s="4302">
        <f>'OVERALL HE BUDGET SUMMARY'!K18</f>
        <v>12064986.434239998</v>
      </c>
    </row>
    <row r="12" spans="1:17">
      <c r="A12" s="4278" t="s">
        <v>847</v>
      </c>
      <c r="B12" s="4279">
        <v>1641127</v>
      </c>
      <c r="C12" s="4279">
        <v>1696732</v>
      </c>
      <c r="D12" s="4279">
        <v>2018631</v>
      </c>
      <c r="E12" s="4279">
        <v>2024999</v>
      </c>
      <c r="F12" s="4279">
        <v>2022724</v>
      </c>
      <c r="G12" s="4279">
        <v>2031944</v>
      </c>
      <c r="H12" s="4279">
        <v>2254333</v>
      </c>
      <c r="I12" s="4279">
        <v>2425461</v>
      </c>
      <c r="J12" s="4279">
        <v>2394273</v>
      </c>
      <c r="K12" s="4279">
        <v>2351735</v>
      </c>
      <c r="L12" s="4279">
        <v>2103973</v>
      </c>
      <c r="M12" s="4279">
        <v>1553532</v>
      </c>
      <c r="N12" s="4279">
        <v>1819808</v>
      </c>
      <c r="O12" s="4280">
        <v>1818053</v>
      </c>
      <c r="P12" s="4302">
        <f>'OVERALL HE BUDGET SUMMARY'!I19</f>
        <v>1795518</v>
      </c>
      <c r="Q12" s="4302">
        <f>'OVERALL HE BUDGET SUMMARY'!K19</f>
        <v>1577593</v>
      </c>
    </row>
    <row r="13" spans="1:17" s="4277" customFormat="1">
      <c r="A13" s="4281" t="s">
        <v>266</v>
      </c>
      <c r="B13" s="4282">
        <f>B15/(B14+B15)</f>
        <v>0.15572151084923086</v>
      </c>
      <c r="C13" s="4282">
        <f>C15/(C14+C15)</f>
        <v>0.15670197760737223</v>
      </c>
      <c r="D13" s="4282">
        <f>D15/(D14+D15)</f>
        <v>0.18579891591116227</v>
      </c>
      <c r="E13" s="4282">
        <f>E15/(E14+E15)</f>
        <v>0.18410365899657702</v>
      </c>
      <c r="F13" s="4282">
        <f t="shared" ref="F13:O13" si="6">F15/(F14+F15)</f>
        <v>0.17156947445697382</v>
      </c>
      <c r="G13" s="4282">
        <f t="shared" si="6"/>
        <v>0.17225931880816348</v>
      </c>
      <c r="H13" s="4282">
        <f t="shared" si="6"/>
        <v>0.18513181616222238</v>
      </c>
      <c r="I13" s="4282">
        <f t="shared" si="6"/>
        <v>0.19598277238922204</v>
      </c>
      <c r="J13" s="4282">
        <f t="shared" si="6"/>
        <v>0.19506215376294395</v>
      </c>
      <c r="K13" s="4282">
        <f t="shared" si="6"/>
        <v>0.19010753712290071</v>
      </c>
      <c r="L13" s="4282">
        <f t="shared" si="6"/>
        <v>0.18441954336644334</v>
      </c>
      <c r="M13" s="4282">
        <f t="shared" si="6"/>
        <v>0.14519806356318737</v>
      </c>
      <c r="N13" s="4282">
        <f t="shared" si="6"/>
        <v>0.13755233364473154</v>
      </c>
      <c r="O13" s="4283">
        <f t="shared" si="6"/>
        <v>0.14686759817360545</v>
      </c>
      <c r="P13" s="4303">
        <f t="shared" ref="P13:Q13" si="7">P15/(P14+P15)</f>
        <v>0.28263164140456859</v>
      </c>
      <c r="Q13" s="4303">
        <f t="shared" si="7"/>
        <v>0.29612153618471276</v>
      </c>
    </row>
    <row r="14" spans="1:17">
      <c r="A14" s="4278" t="s">
        <v>846</v>
      </c>
      <c r="B14" s="4279">
        <v>16995597</v>
      </c>
      <c r="C14" s="4279">
        <v>17441228</v>
      </c>
      <c r="D14" s="4279">
        <v>17313123</v>
      </c>
      <c r="E14" s="4279">
        <v>17564153</v>
      </c>
      <c r="F14" s="4279">
        <v>17178540</v>
      </c>
      <c r="G14" s="4279">
        <v>17173419</v>
      </c>
      <c r="H14" s="4279">
        <v>17514736</v>
      </c>
      <c r="I14" s="4279">
        <v>17563889</v>
      </c>
      <c r="J14" s="4279">
        <v>17811296</v>
      </c>
      <c r="K14" s="4279">
        <v>18061296</v>
      </c>
      <c r="L14" s="4279">
        <v>17243776</v>
      </c>
      <c r="M14" s="4279">
        <v>16949512</v>
      </c>
      <c r="N14" s="4279">
        <v>16275368.487963818</v>
      </c>
      <c r="O14" s="4280">
        <v>16275368.487963818</v>
      </c>
      <c r="P14" s="4302">
        <f>'OVERALL HE BUDGET SUMMARY'!I23</f>
        <v>16720236.794</v>
      </c>
      <c r="Q14" s="4302">
        <f>'OVERALL HE BUDGET SUMMARY'!K23</f>
        <v>16720236.794</v>
      </c>
    </row>
    <row r="15" spans="1:17">
      <c r="A15" s="4278" t="s">
        <v>847</v>
      </c>
      <c r="B15" s="4279">
        <v>3134724</v>
      </c>
      <c r="C15" s="4279">
        <v>3240936</v>
      </c>
      <c r="D15" s="4279">
        <v>3950817</v>
      </c>
      <c r="E15" s="4279">
        <v>3963279</v>
      </c>
      <c r="F15" s="4279">
        <v>3557707</v>
      </c>
      <c r="G15" s="4279">
        <v>3573923</v>
      </c>
      <c r="H15" s="4279">
        <v>3979214</v>
      </c>
      <c r="I15" s="4279">
        <v>4281276</v>
      </c>
      <c r="J15" s="4279">
        <v>4316246</v>
      </c>
      <c r="K15" s="4279">
        <v>4239561</v>
      </c>
      <c r="L15" s="4279">
        <v>3899173</v>
      </c>
      <c r="M15" s="4279">
        <v>2879072</v>
      </c>
      <c r="N15" s="4279">
        <v>2595769</v>
      </c>
      <c r="O15" s="4280">
        <v>2801821</v>
      </c>
      <c r="P15" s="4302">
        <f>'OVERALL HE BUDGET SUMMARY'!I24</f>
        <v>6587505.4470117483</v>
      </c>
      <c r="Q15" s="4302">
        <f>'OVERALL HE BUDGET SUMMARY'!K24</f>
        <v>7034200.4470117483</v>
      </c>
    </row>
    <row r="16" spans="1:17" s="4277" customFormat="1">
      <c r="A16" s="4281" t="s">
        <v>267</v>
      </c>
      <c r="B16" s="4282">
        <f>B18/(B17+B18)</f>
        <v>0.17573486923487577</v>
      </c>
      <c r="C16" s="4282">
        <f>C18/(C17+C18)</f>
        <v>0.17394778193336707</v>
      </c>
      <c r="D16" s="4282">
        <f>D18/(D17+D18)</f>
        <v>0.20113540405883176</v>
      </c>
      <c r="E16" s="4282">
        <f>E18/(E17+E18)</f>
        <v>0.19664684878233424</v>
      </c>
      <c r="F16" s="4282">
        <f t="shared" ref="F16:O16" si="8">F18/(F17+F18)</f>
        <v>0.194424777106354</v>
      </c>
      <c r="G16" s="4282">
        <f t="shared" si="8"/>
        <v>0.1915387112208056</v>
      </c>
      <c r="H16" s="4282">
        <f t="shared" si="8"/>
        <v>0.19518251195333206</v>
      </c>
      <c r="I16" s="4282">
        <f t="shared" si="8"/>
        <v>0.20886760005660507</v>
      </c>
      <c r="J16" s="4282">
        <f t="shared" si="8"/>
        <v>0.20816610150453704</v>
      </c>
      <c r="K16" s="4282">
        <f t="shared" si="8"/>
        <v>0.23708359037757687</v>
      </c>
      <c r="L16" s="4282">
        <f t="shared" si="8"/>
        <v>0.20343963626659675</v>
      </c>
      <c r="M16" s="4282">
        <f t="shared" si="8"/>
        <v>0.16101019792804613</v>
      </c>
      <c r="N16" s="4282">
        <f t="shared" si="8"/>
        <v>0.16384234337059464</v>
      </c>
      <c r="O16" s="4283">
        <f t="shared" si="8"/>
        <v>0.16386384119361225</v>
      </c>
      <c r="P16" s="4303">
        <f t="shared" ref="P16:Q16" si="9">P18/(P17+P18)</f>
        <v>0.15962095894063144</v>
      </c>
      <c r="Q16" s="4303">
        <f t="shared" si="9"/>
        <v>0.14791415900395066</v>
      </c>
    </row>
    <row r="17" spans="1:17">
      <c r="A17" s="4278" t="s">
        <v>846</v>
      </c>
      <c r="B17" s="4279">
        <v>19712219</v>
      </c>
      <c r="C17" s="4279">
        <f>20371355+262776</f>
        <v>20634131</v>
      </c>
      <c r="D17" s="4279">
        <v>21202694</v>
      </c>
      <c r="E17" s="4279">
        <v>21877293</v>
      </c>
      <c r="F17" s="4279">
        <f>22061845+427500</f>
        <v>22489345</v>
      </c>
      <c r="G17" s="4279">
        <f>22586919+427500</f>
        <v>23014419</v>
      </c>
      <c r="H17" s="4279">
        <v>22660743</v>
      </c>
      <c r="I17" s="4279">
        <v>22395713</v>
      </c>
      <c r="J17" s="4279">
        <v>22699732</v>
      </c>
      <c r="K17" s="4279">
        <v>23236007</v>
      </c>
      <c r="L17" s="4279">
        <v>22157280</v>
      </c>
      <c r="M17" s="4279">
        <v>21772918</v>
      </c>
      <c r="N17" s="4279">
        <v>21756889.720873833</v>
      </c>
      <c r="O17" s="4280">
        <v>21756889.720873833</v>
      </c>
      <c r="P17" s="4302">
        <f>'OVERALL HE BUDGET SUMMARY'!I28</f>
        <v>22254858.616599999</v>
      </c>
      <c r="Q17" s="4302">
        <f>'OVERALL HE BUDGET SUMMARY'!K28</f>
        <v>22254858.616599999</v>
      </c>
    </row>
    <row r="18" spans="1:17">
      <c r="A18" s="4278" t="s">
        <v>847</v>
      </c>
      <c r="B18" s="4279">
        <v>4202682</v>
      </c>
      <c r="C18" s="4279">
        <v>4345078</v>
      </c>
      <c r="D18" s="4279">
        <v>5338342</v>
      </c>
      <c r="E18" s="4279">
        <v>5355180</v>
      </c>
      <c r="F18" s="4279">
        <v>5427781</v>
      </c>
      <c r="G18" s="4279">
        <v>5452521</v>
      </c>
      <c r="H18" s="4279">
        <v>5495632</v>
      </c>
      <c r="I18" s="4279">
        <v>5912713</v>
      </c>
      <c r="J18" s="4279">
        <v>5967558</v>
      </c>
      <c r="K18" s="4279">
        <v>7220812</v>
      </c>
      <c r="L18" s="4279">
        <v>5658917</v>
      </c>
      <c r="M18" s="4279">
        <v>4178432</v>
      </c>
      <c r="N18" s="4279">
        <v>4263191</v>
      </c>
      <c r="O18" s="4280">
        <v>4263860</v>
      </c>
      <c r="P18" s="4302">
        <f>'OVERALL HE BUDGET SUMMARY'!I29</f>
        <v>4227071</v>
      </c>
      <c r="Q18" s="4302">
        <f>'OVERALL HE BUDGET SUMMARY'!K29</f>
        <v>3863236</v>
      </c>
    </row>
    <row r="19" spans="1:17" s="4277" customFormat="1">
      <c r="A19" s="4281" t="s">
        <v>484</v>
      </c>
      <c r="B19" s="4282">
        <f>B21/(B20+B21)</f>
        <v>0.18744312805098387</v>
      </c>
      <c r="C19" s="4282">
        <f>C21/(C20+C21)</f>
        <v>0.20030456691846737</v>
      </c>
      <c r="D19" s="4282">
        <f>D21/(D20+D21)</f>
        <v>0.21329798492663093</v>
      </c>
      <c r="E19" s="4282">
        <f>E21/(E20+E21)</f>
        <v>0.21135789056652018</v>
      </c>
      <c r="F19" s="4282">
        <f t="shared" ref="F19:O19" si="10">F21/(F20+F21)</f>
        <v>0.20901268319716199</v>
      </c>
      <c r="G19" s="4282">
        <f t="shared" si="10"/>
        <v>0.204969625101038</v>
      </c>
      <c r="H19" s="4282">
        <f t="shared" si="10"/>
        <v>0.2016609172372443</v>
      </c>
      <c r="I19" s="4282">
        <f t="shared" si="10"/>
        <v>0.21273390360215452</v>
      </c>
      <c r="J19" s="4282">
        <f t="shared" si="10"/>
        <v>0.2093117133892716</v>
      </c>
      <c r="K19" s="4282">
        <f t="shared" si="10"/>
        <v>0.19877864559754871</v>
      </c>
      <c r="L19" s="4282">
        <f t="shared" si="10"/>
        <v>0.20151577686408567</v>
      </c>
      <c r="M19" s="4282">
        <f t="shared" si="10"/>
        <v>0.15811262337493101</v>
      </c>
      <c r="N19" s="4282">
        <f t="shared" si="10"/>
        <v>0.13832414007540506</v>
      </c>
      <c r="O19" s="4283">
        <f t="shared" si="10"/>
        <v>0.13858323162665651</v>
      </c>
      <c r="P19" s="4303">
        <f t="shared" ref="P19:Q19" si="11">P21/(P20+P21)</f>
        <v>0.13457539419575432</v>
      </c>
      <c r="Q19" s="4303">
        <f t="shared" si="11"/>
        <v>0.11542205062968873</v>
      </c>
    </row>
    <row r="20" spans="1:17">
      <c r="A20" s="4278" t="s">
        <v>846</v>
      </c>
      <c r="B20" s="4279">
        <v>14663420</v>
      </c>
      <c r="C20" s="4279">
        <f>15332140+3497213+793408</f>
        <v>19622761</v>
      </c>
      <c r="D20" s="4279">
        <v>18071000</v>
      </c>
      <c r="E20" s="4279">
        <v>18339515</v>
      </c>
      <c r="F20" s="4279">
        <v>18634905</v>
      </c>
      <c r="G20" s="4279">
        <v>19186666</v>
      </c>
      <c r="H20" s="4279">
        <v>19141674</v>
      </c>
      <c r="I20" s="4279">
        <v>19251961</v>
      </c>
      <c r="J20" s="4279">
        <v>19892774</v>
      </c>
      <c r="K20" s="4279">
        <v>20848802</v>
      </c>
      <c r="L20" s="4279">
        <v>20002235</v>
      </c>
      <c r="M20" s="4279">
        <v>19846717</v>
      </c>
      <c r="N20" s="4279">
        <v>18976858.541768193</v>
      </c>
      <c r="O20" s="4280">
        <v>18976858.541768193</v>
      </c>
      <c r="P20" s="4302">
        <f>'OVERALL HE BUDGET SUMMARY'!I33</f>
        <v>19093239.793000001</v>
      </c>
      <c r="Q20" s="4302">
        <f>'OVERALL HE BUDGET SUMMARY'!K33</f>
        <v>19093239.793000001</v>
      </c>
    </row>
    <row r="21" spans="1:17" s="4287" customFormat="1">
      <c r="A21" s="4284" t="s">
        <v>847</v>
      </c>
      <c r="B21" s="4285">
        <v>3382603</v>
      </c>
      <c r="C21" s="4285">
        <v>4915032</v>
      </c>
      <c r="D21" s="4285">
        <v>4899578</v>
      </c>
      <c r="E21" s="4285">
        <v>4915032</v>
      </c>
      <c r="F21" s="4285">
        <v>4924139</v>
      </c>
      <c r="G21" s="4285">
        <v>4946583</v>
      </c>
      <c r="H21" s="4285">
        <v>4835198</v>
      </c>
      <c r="I21" s="4285">
        <v>5202237</v>
      </c>
      <c r="J21" s="4285">
        <v>5266033</v>
      </c>
      <c r="K21" s="4285">
        <v>5172474</v>
      </c>
      <c r="L21" s="4285">
        <v>5048022</v>
      </c>
      <c r="M21" s="4285">
        <v>3727359</v>
      </c>
      <c r="N21" s="4285">
        <v>3046340</v>
      </c>
      <c r="O21" s="4286">
        <v>3052964</v>
      </c>
      <c r="P21" s="4302">
        <f>'OVERALL HE BUDGET SUMMARY'!I34</f>
        <v>2969040</v>
      </c>
      <c r="Q21" s="4302">
        <f>'OVERALL HE BUDGET SUMMARY'!K34</f>
        <v>2491336</v>
      </c>
    </row>
    <row r="22" spans="1:17" s="4277" customFormat="1">
      <c r="A22" s="4281" t="s">
        <v>746</v>
      </c>
      <c r="B22" s="4282">
        <f>B24/(B23+B24)</f>
        <v>3.1121224747123189E-2</v>
      </c>
      <c r="C22" s="4282">
        <f>C24/(C23+C24)</f>
        <v>3.1421940792311982E-2</v>
      </c>
      <c r="D22" s="4282">
        <f>D24/(D23+D24)</f>
        <v>3.4313450840783525E-3</v>
      </c>
      <c r="E22" s="4282">
        <f>E24/(E23+E24)</f>
        <v>3.2737283464798331E-2</v>
      </c>
      <c r="F22" s="4282">
        <f t="shared" ref="F22:O22" si="12">F24/(F23+F24)</f>
        <v>3.4002909936079108E-2</v>
      </c>
      <c r="G22" s="4282">
        <f t="shared" si="12"/>
        <v>3.3551649672576553E-2</v>
      </c>
      <c r="H22" s="4282">
        <f t="shared" si="12"/>
        <v>2.9772176732494358E-2</v>
      </c>
      <c r="I22" s="4282">
        <f t="shared" si="12"/>
        <v>3.2141066339435503E-2</v>
      </c>
      <c r="J22" s="4282">
        <f t="shared" si="12"/>
        <v>3.5080386796081463E-2</v>
      </c>
      <c r="K22" s="4282">
        <f t="shared" si="12"/>
        <v>4.1905335975347166E-2</v>
      </c>
      <c r="L22" s="4282">
        <f t="shared" si="12"/>
        <v>3.4862632976923907E-2</v>
      </c>
      <c r="M22" s="4282">
        <f t="shared" si="12"/>
        <v>3.5155120267507813E-2</v>
      </c>
      <c r="N22" s="4282">
        <f t="shared" si="12"/>
        <v>2.5811277457681147E-2</v>
      </c>
      <c r="O22" s="4283">
        <f t="shared" si="12"/>
        <v>3.1865536811184474E-2</v>
      </c>
      <c r="P22" s="4303">
        <f t="shared" ref="P22:Q22" si="13">P24/(P23+P24)</f>
        <v>3.0221482615609606E-2</v>
      </c>
      <c r="Q22" s="4303">
        <f t="shared" si="13"/>
        <v>3.088265096999469E-2</v>
      </c>
    </row>
    <row r="23" spans="1:17">
      <c r="A23" s="4278" t="s">
        <v>846</v>
      </c>
      <c r="B23" s="4279">
        <f>82928828+1400281+1288170+1830021+1633552+1468828+1362163+1623993</f>
        <v>93535836</v>
      </c>
      <c r="C23" s="4279">
        <f>85362321+1441371+1325970+1883722+1681487+1511830+1402135+1671648</f>
        <v>96280484</v>
      </c>
      <c r="D23" s="4279">
        <f>86292285+1457074+1340416+1904244+1699806+1528401+1417410+1689859</f>
        <v>97329495</v>
      </c>
      <c r="E23" s="4279">
        <f>87396861+1475725+1357573+1928619+1721564+1547966+1435554+1711490</f>
        <v>98575352</v>
      </c>
      <c r="F23" s="4279">
        <f>87221750+1472768+1354853+1924755+1718115+1544864+1432678+1708061</f>
        <v>98377844</v>
      </c>
      <c r="G23" s="4279">
        <f>88938286+1501752+1381517+1962634+1751927+1575268+1460873+1741676</f>
        <v>100313933</v>
      </c>
      <c r="H23" s="4279">
        <f>88039600+1486577+1367557+1942802+1734224+1559351+1446111+1724077</f>
        <v>99300299</v>
      </c>
      <c r="I23" s="4279">
        <f>87844775+1483288+1364531+1938503+1730387+155900+1442911+1720262</f>
        <v>97680557</v>
      </c>
      <c r="J23" s="4279">
        <f>107493576+1542312+1418830+2015642+1799244+1617814+1500329+1788716</f>
        <v>119176463</v>
      </c>
      <c r="K23" s="4279">
        <f>112236327+1610361+1481430+2104574+1878629+1689194+1565525+1867636</f>
        <v>124433676</v>
      </c>
      <c r="L23" s="4279">
        <f>104111058+1565404+1440072+2045819+1826182+1642036+1522791+1815496</f>
        <v>115968858</v>
      </c>
      <c r="M23" s="4279">
        <v>114175436</v>
      </c>
      <c r="N23" s="4279">
        <v>110189722.74860416</v>
      </c>
      <c r="O23" s="4280">
        <v>110189722.74860416</v>
      </c>
      <c r="P23" s="4302">
        <f>'OVERALL HE BUDGET SUMMARY'!I38</f>
        <v>109414220.74860419</v>
      </c>
      <c r="Q23" s="4302">
        <f>'OVERALL HE BUDGET SUMMARY'!K38</f>
        <v>109414220.74860419</v>
      </c>
    </row>
    <row r="24" spans="1:17">
      <c r="A24" s="4278" t="s">
        <v>847</v>
      </c>
      <c r="B24" s="4279">
        <v>3004452</v>
      </c>
      <c r="C24" s="4279">
        <v>3123465</v>
      </c>
      <c r="D24" s="4279">
        <v>335121</v>
      </c>
      <c r="E24" s="4279">
        <v>3336311</v>
      </c>
      <c r="F24" s="4279">
        <v>3462881</v>
      </c>
      <c r="G24" s="4279">
        <v>3482543</v>
      </c>
      <c r="H24" s="4279">
        <v>3047105</v>
      </c>
      <c r="I24" s="4279">
        <v>3243817</v>
      </c>
      <c r="J24" s="4279">
        <v>4332751</v>
      </c>
      <c r="K24" s="4279">
        <v>5442505</v>
      </c>
      <c r="L24" s="4279">
        <v>4189020</v>
      </c>
      <c r="M24" s="4279">
        <v>4160100</v>
      </c>
      <c r="N24" s="4279">
        <v>2919493.36</v>
      </c>
      <c r="O24" s="4280">
        <v>3626825.4049076824</v>
      </c>
      <c r="P24" s="4302">
        <f>'OVERALL HE BUDGET SUMMARY'!I39</f>
        <v>3409706.3514800002</v>
      </c>
      <c r="Q24" s="4302">
        <f>'OVERALL HE BUDGET SUMMARY'!K39</f>
        <v>3486679.08372</v>
      </c>
    </row>
    <row r="25" spans="1:17" s="4277" customFormat="1">
      <c r="A25" s="4281" t="s">
        <v>485</v>
      </c>
      <c r="B25" s="4282">
        <f>B27/(B26+B27)</f>
        <v>0.14875419364965453</v>
      </c>
      <c r="C25" s="4282">
        <f>C27/(C26+C27)</f>
        <v>0.14835118371982162</v>
      </c>
      <c r="D25" s="4282">
        <f>D27/(D26+D27)</f>
        <v>0.15265029051362522</v>
      </c>
      <c r="E25" s="4282">
        <f>E27/(E26+E27)</f>
        <v>0.14909895219084321</v>
      </c>
      <c r="F25" s="4282">
        <f t="shared" ref="F25:O25" si="14">F27/(F26+F27)</f>
        <v>0.15667486332813094</v>
      </c>
      <c r="G25" s="4282">
        <f t="shared" si="14"/>
        <v>0.15284747370824434</v>
      </c>
      <c r="H25" s="4282">
        <f t="shared" si="14"/>
        <v>0.14550250760943664</v>
      </c>
      <c r="I25" s="4282">
        <f t="shared" si="14"/>
        <v>0.15377713732013343</v>
      </c>
      <c r="J25" s="4282">
        <f t="shared" si="14"/>
        <v>0.20581560814825731</v>
      </c>
      <c r="K25" s="4282">
        <f t="shared" si="14"/>
        <v>0.20115476087398224</v>
      </c>
      <c r="L25" s="4282">
        <f t="shared" si="14"/>
        <v>0.19940902808096986</v>
      </c>
      <c r="M25" s="4415">
        <f t="shared" si="14"/>
        <v>0.14377735883564619</v>
      </c>
      <c r="N25" s="4282">
        <f t="shared" si="14"/>
        <v>0.12835912198012611</v>
      </c>
      <c r="O25" s="4283">
        <f t="shared" si="14"/>
        <v>0.15464847628131914</v>
      </c>
      <c r="P25" s="4303">
        <f t="shared" ref="P25:Q25" si="15">P27/(P26+P27)</f>
        <v>0.13664555543709886</v>
      </c>
      <c r="Q25" s="4303">
        <f t="shared" si="15"/>
        <v>0.13930057025698997</v>
      </c>
    </row>
    <row r="26" spans="1:17">
      <c r="A26" s="4278" t="s">
        <v>846</v>
      </c>
      <c r="B26" s="4279">
        <v>77339879</v>
      </c>
      <c r="C26" s="4279">
        <v>80660052</v>
      </c>
      <c r="D26" s="4279">
        <v>82022230</v>
      </c>
      <c r="E26" s="4279">
        <v>84357924</v>
      </c>
      <c r="F26" s="4279">
        <f>84742881+2500000</f>
        <v>87242881</v>
      </c>
      <c r="G26" s="4279">
        <f>86643396+3700000</f>
        <v>90343396</v>
      </c>
      <c r="H26" s="4279">
        <v>90493043</v>
      </c>
      <c r="I26" s="4279">
        <v>90268567</v>
      </c>
      <c r="J26" s="4279">
        <v>79980030</v>
      </c>
      <c r="K26" s="4279">
        <v>83311562</v>
      </c>
      <c r="L26" s="4279">
        <v>80314605</v>
      </c>
      <c r="M26" s="4279">
        <v>80232626</v>
      </c>
      <c r="N26" s="4279">
        <v>85628142.593418166</v>
      </c>
      <c r="O26" s="4280">
        <v>85628142.593418166</v>
      </c>
      <c r="P26" s="4302">
        <f>'OVERALL HE BUDGET SUMMARY'!I43</f>
        <v>95960975.622633323</v>
      </c>
      <c r="Q26" s="4302">
        <f>'OVERALL HE BUDGET SUMMARY'!K43</f>
        <v>95960975.622633323</v>
      </c>
    </row>
    <row r="27" spans="1:17">
      <c r="A27" s="4278" t="s">
        <v>847</v>
      </c>
      <c r="B27" s="4279">
        <v>13515052</v>
      </c>
      <c r="C27" s="4279">
        <v>14050409</v>
      </c>
      <c r="D27" s="4279">
        <v>14776328</v>
      </c>
      <c r="E27" s="4279">
        <v>14781599</v>
      </c>
      <c r="F27" s="4279">
        <v>16208181</v>
      </c>
      <c r="G27" s="4279">
        <v>16300205</v>
      </c>
      <c r="H27" s="4279">
        <v>15409015</v>
      </c>
      <c r="I27" s="4279">
        <v>16403766</v>
      </c>
      <c r="J27" s="4279">
        <v>20727099</v>
      </c>
      <c r="K27" s="4279">
        <v>20978428</v>
      </c>
      <c r="L27" s="4279">
        <v>20004544</v>
      </c>
      <c r="M27" s="4279">
        <v>13472705</v>
      </c>
      <c r="N27" s="4279">
        <v>12609726.640000001</v>
      </c>
      <c r="O27" s="4280">
        <v>15664799.089282118</v>
      </c>
      <c r="P27" s="4302">
        <f>'OVERALL HE BUDGET SUMMARY'!I44</f>
        <v>15188015.64852</v>
      </c>
      <c r="Q27" s="4302">
        <f>'OVERALL HE BUDGET SUMMARY'!K44</f>
        <v>15530878.916280001</v>
      </c>
    </row>
    <row r="28" spans="1:17" s="4277" customFormat="1">
      <c r="A28" s="4281" t="s">
        <v>270</v>
      </c>
      <c r="B28" s="4282">
        <f>B30/(B29+B30)</f>
        <v>8.7398769655483308E-2</v>
      </c>
      <c r="C28" s="4282">
        <f>C30/(C29+C30)</f>
        <v>8.5206812302196858E-2</v>
      </c>
      <c r="D28" s="4282">
        <f>D30/(D29+D30)</f>
        <v>9.6750491006979189E-2</v>
      </c>
      <c r="E28" s="4282">
        <f>E30/(E29+E30)</f>
        <v>9.5271740842176808E-2</v>
      </c>
      <c r="F28" s="4282">
        <f t="shared" ref="F28:O28" si="16">F30/(F29+F30)</f>
        <v>8.3654714559244281E-2</v>
      </c>
      <c r="G28" s="4282">
        <f t="shared" si="16"/>
        <v>6.8394781870678351E-2</v>
      </c>
      <c r="H28" s="4282">
        <f t="shared" si="16"/>
        <v>6.8594128679529187E-2</v>
      </c>
      <c r="I28" s="4282">
        <f t="shared" si="16"/>
        <v>7.9796265846466485E-2</v>
      </c>
      <c r="J28" s="4282">
        <f t="shared" si="16"/>
        <v>8.7375536771280363E-2</v>
      </c>
      <c r="K28" s="4282">
        <f t="shared" si="16"/>
        <v>9.0533472482770314E-2</v>
      </c>
      <c r="L28" s="4282">
        <f t="shared" si="16"/>
        <v>9.7253409434279584E-2</v>
      </c>
      <c r="M28" s="4282">
        <f t="shared" si="16"/>
        <v>0.10275800007239884</v>
      </c>
      <c r="N28" s="4282">
        <f t="shared" si="16"/>
        <v>9.7107540016228927E-2</v>
      </c>
      <c r="O28" s="4283">
        <f t="shared" si="16"/>
        <v>9.7537847414729206E-2</v>
      </c>
      <c r="P28" s="4303">
        <f t="shared" ref="P28:Q28" si="17">P30/(P29+P30)</f>
        <v>8.017504547291604E-2</v>
      </c>
      <c r="Q28" s="4303">
        <f t="shared" si="17"/>
        <v>7.8391809591001463E-2</v>
      </c>
    </row>
    <row r="29" spans="1:17">
      <c r="A29" s="4278" t="s">
        <v>846</v>
      </c>
      <c r="B29" s="4279">
        <v>217908946</v>
      </c>
      <c r="C29" s="4279">
        <v>224822288</v>
      </c>
      <c r="D29" s="4279">
        <v>227353040</v>
      </c>
      <c r="E29" s="4279">
        <v>231610732</v>
      </c>
      <c r="F29" s="4279">
        <f>230510461+2500000</f>
        <v>233010461</v>
      </c>
      <c r="G29" s="4279">
        <f>235172228+5000000</f>
        <v>240172228</v>
      </c>
      <c r="H29" s="4279">
        <v>239076505</v>
      </c>
      <c r="I29" s="4279">
        <v>241258923</v>
      </c>
      <c r="J29" s="4279">
        <v>249929962</v>
      </c>
      <c r="K29" s="4279">
        <v>262033737</v>
      </c>
      <c r="L29" s="4279">
        <v>248053173</v>
      </c>
      <c r="M29" s="4279">
        <v>241119044</v>
      </c>
      <c r="N29" s="4279">
        <v>233843355.83068639</v>
      </c>
      <c r="O29" s="4280">
        <v>233843355.83068639</v>
      </c>
      <c r="P29" s="4302">
        <f>'OVERALL HE BUDGET SUMMARY'!I55</f>
        <v>244792248.17812002</v>
      </c>
      <c r="Q29" s="4302">
        <f>'OVERALL HE BUDGET SUMMARY'!K55</f>
        <v>244792248.17812002</v>
      </c>
    </row>
    <row r="30" spans="1:17">
      <c r="A30" s="4278" t="s">
        <v>847</v>
      </c>
      <c r="B30" s="4279">
        <v>20868889</v>
      </c>
      <c r="C30" s="4279">
        <v>20940679</v>
      </c>
      <c r="D30" s="4279">
        <v>24352649</v>
      </c>
      <c r="E30" s="4279">
        <v>24389597</v>
      </c>
      <c r="F30" s="4279">
        <v>21271920</v>
      </c>
      <c r="G30" s="4279">
        <v>17632498</v>
      </c>
      <c r="H30" s="4279">
        <v>17606980</v>
      </c>
      <c r="I30" s="4279">
        <v>20920977</v>
      </c>
      <c r="J30" s="4279">
        <v>23928533</v>
      </c>
      <c r="K30" s="4279">
        <v>26084329</v>
      </c>
      <c r="L30" s="4279">
        <v>26722911</v>
      </c>
      <c r="M30" s="4279">
        <v>27614524</v>
      </c>
      <c r="N30" s="4279">
        <v>25150230</v>
      </c>
      <c r="O30" s="4280">
        <v>25273722</v>
      </c>
      <c r="P30" s="4302">
        <f>'OVERALL HE BUDGET SUMMARY'!I56</f>
        <v>21336918</v>
      </c>
      <c r="Q30" s="4302">
        <f>'OVERALL HE BUDGET SUMMARY'!K56</f>
        <v>20821980</v>
      </c>
    </row>
    <row r="31" spans="1:17" s="4277" customFormat="1">
      <c r="A31" s="4281" t="s">
        <v>273</v>
      </c>
      <c r="B31" s="4282">
        <f>B33/(B32+B33)</f>
        <v>0.24848417031074674</v>
      </c>
      <c r="C31" s="4282">
        <f>C33/(C32+C33)</f>
        <v>0.23674054354258292</v>
      </c>
      <c r="D31" s="4282">
        <f>D33/(D32+D33)</f>
        <v>0.22436617543827142</v>
      </c>
      <c r="E31" s="4282">
        <f>E33/(E32+E33)</f>
        <v>0.22173508244738505</v>
      </c>
      <c r="F31" s="4282">
        <f t="shared" ref="F31:O31" si="18">F33/(F32+F33)</f>
        <v>0.12817572389836845</v>
      </c>
      <c r="G31" s="4282">
        <f t="shared" si="18"/>
        <v>0</v>
      </c>
      <c r="H31" s="4282">
        <f t="shared" si="18"/>
        <v>0</v>
      </c>
      <c r="I31" s="4282">
        <f t="shared" si="18"/>
        <v>0</v>
      </c>
      <c r="J31" s="4282">
        <f t="shared" si="18"/>
        <v>0</v>
      </c>
      <c r="K31" s="4282">
        <f t="shared" si="18"/>
        <v>4.1882942068696546E-3</v>
      </c>
      <c r="L31" s="4282">
        <f t="shared" si="18"/>
        <v>0</v>
      </c>
      <c r="M31" s="4282">
        <f t="shared" si="18"/>
        <v>0</v>
      </c>
      <c r="N31" s="4282">
        <f t="shared" si="18"/>
        <v>0</v>
      </c>
      <c r="O31" s="4283">
        <f t="shared" si="18"/>
        <v>0</v>
      </c>
      <c r="P31" s="4303">
        <f t="shared" ref="P31:Q31" si="19">P33/(P32+P33)</f>
        <v>0.13079649673092142</v>
      </c>
      <c r="Q31" s="4303">
        <f t="shared" si="19"/>
        <v>0.13079649673092142</v>
      </c>
    </row>
    <row r="32" spans="1:17">
      <c r="A32" s="4278" t="s">
        <v>846</v>
      </c>
      <c r="B32" s="4279">
        <v>8495785</v>
      </c>
      <c r="C32" s="4279">
        <f>8818031+244147</f>
        <v>9062178</v>
      </c>
      <c r="D32" s="4279">
        <v>9711231</v>
      </c>
      <c r="E32" s="4279">
        <v>9858744</v>
      </c>
      <c r="F32" s="4279">
        <v>9985054</v>
      </c>
      <c r="G32" s="4279">
        <v>10255208</v>
      </c>
      <c r="H32" s="4279">
        <v>10298659</v>
      </c>
      <c r="I32" s="4279">
        <v>10579693</v>
      </c>
      <c r="J32" s="4279">
        <v>11135246</v>
      </c>
      <c r="K32" s="4279">
        <v>11969824</v>
      </c>
      <c r="L32" s="4279">
        <v>11847744</v>
      </c>
      <c r="M32" s="4279">
        <v>12299238</v>
      </c>
      <c r="N32" s="4279">
        <v>13073588.051714992</v>
      </c>
      <c r="O32" s="4280">
        <v>13073588.051714992</v>
      </c>
      <c r="P32" s="4302">
        <f>'OVERALL HE BUDGET SUMMARY'!I65</f>
        <v>13453988.670666667</v>
      </c>
      <c r="Q32" s="4302">
        <f>'OVERALL HE BUDGET SUMMARY'!K65</f>
        <v>13453988.670666667</v>
      </c>
    </row>
    <row r="33" spans="1:17">
      <c r="A33" s="4278" t="s">
        <v>847</v>
      </c>
      <c r="B33" s="4279">
        <v>2809080</v>
      </c>
      <c r="C33" s="4279">
        <v>2810820</v>
      </c>
      <c r="D33" s="4279">
        <v>2809150</v>
      </c>
      <c r="E33" s="4279">
        <v>2808850</v>
      </c>
      <c r="F33" s="4279">
        <v>1468004</v>
      </c>
      <c r="G33" s="4279">
        <v>0</v>
      </c>
      <c r="H33" s="4279">
        <v>0</v>
      </c>
      <c r="I33" s="4279">
        <v>0</v>
      </c>
      <c r="J33" s="4279">
        <v>0</v>
      </c>
      <c r="K33" s="4279">
        <v>50344</v>
      </c>
      <c r="L33" s="4279">
        <v>0</v>
      </c>
      <c r="M33" s="4279">
        <v>0</v>
      </c>
      <c r="N33" s="4279">
        <v>0</v>
      </c>
      <c r="O33" s="4280">
        <v>0</v>
      </c>
      <c r="P33" s="4302">
        <f>'OVERALL HE BUDGET SUMMARY'!I66</f>
        <v>2024536.922092854</v>
      </c>
      <c r="Q33" s="4302">
        <f>'OVERALL HE BUDGET SUMMARY'!K66</f>
        <v>2024536.922092854</v>
      </c>
    </row>
    <row r="34" spans="1:17" s="4277" customFormat="1">
      <c r="A34" s="4281" t="s">
        <v>271</v>
      </c>
      <c r="B34" s="4282">
        <f>B36/(B35+B36)</f>
        <v>7.3212215471124595E-2</v>
      </c>
      <c r="C34" s="4282">
        <f>C36/(C35+C36)</f>
        <v>7.0112720703619291E-2</v>
      </c>
      <c r="D34" s="4282">
        <f>D36/(D35+D36)</f>
        <v>6.8590029788035953E-2</v>
      </c>
      <c r="E34" s="4282">
        <f>E36/(E35+E36)</f>
        <v>6.7422448454953446E-2</v>
      </c>
      <c r="F34" s="4282">
        <f t="shared" ref="F34:O34" si="20">F36/(F35+F36)</f>
        <v>6.8270027765242131E-2</v>
      </c>
      <c r="G34" s="4282">
        <f t="shared" si="20"/>
        <v>6.7961171183911234E-2</v>
      </c>
      <c r="H34" s="4282">
        <f t="shared" si="20"/>
        <v>6.8772852947923652E-2</v>
      </c>
      <c r="I34" s="4282">
        <f t="shared" si="20"/>
        <v>6.8044202662242606E-2</v>
      </c>
      <c r="J34" s="4282">
        <f t="shared" si="20"/>
        <v>5.404531163022408E-2</v>
      </c>
      <c r="K34" s="4282">
        <f t="shared" si="20"/>
        <v>5.4114422477371159E-2</v>
      </c>
      <c r="L34" s="4282">
        <f t="shared" si="20"/>
        <v>5.2289084395344708E-2</v>
      </c>
      <c r="M34" s="4282">
        <f t="shared" si="20"/>
        <v>5.2821718944326176E-2</v>
      </c>
      <c r="N34" s="4282">
        <f t="shared" si="20"/>
        <v>5.2587193284456026E-2</v>
      </c>
      <c r="O34" s="4283">
        <f t="shared" si="20"/>
        <v>5.2577630453334655E-2</v>
      </c>
      <c r="P34" s="4303">
        <f t="shared" ref="P34:Q34" si="21">P36/(P35+P36)</f>
        <v>5.0280030807228059E-2</v>
      </c>
      <c r="Q34" s="4303">
        <f t="shared" si="21"/>
        <v>5.0422609390751293E-2</v>
      </c>
    </row>
    <row r="35" spans="1:17">
      <c r="A35" s="4278" t="s">
        <v>846</v>
      </c>
      <c r="B35" s="4279">
        <v>24474812</v>
      </c>
      <c r="C35" s="4279">
        <f>25315864+415669</f>
        <v>25731533</v>
      </c>
      <c r="D35" s="4279">
        <v>26387937</v>
      </c>
      <c r="E35" s="4279">
        <v>26819428</v>
      </c>
      <c r="F35" s="4279">
        <v>26412712</v>
      </c>
      <c r="G35" s="4279">
        <v>26547810</v>
      </c>
      <c r="H35" s="4279">
        <v>26146127</v>
      </c>
      <c r="I35" s="4279">
        <v>26586465</v>
      </c>
      <c r="J35" s="4279">
        <v>27126733</v>
      </c>
      <c r="K35" s="4279">
        <v>28212704</v>
      </c>
      <c r="L35" s="4279">
        <v>27028286</v>
      </c>
      <c r="M35" s="4279">
        <v>26750801</v>
      </c>
      <c r="N35" s="4279">
        <v>26844939.68546192</v>
      </c>
      <c r="O35" s="4280">
        <v>26844939.68546192</v>
      </c>
      <c r="P35" s="4302">
        <f>'OVERALL HE BUDGET SUMMARY'!I60</f>
        <v>27843362.248424999</v>
      </c>
      <c r="Q35" s="4302">
        <f>'OVERALL HE BUDGET SUMMARY'!K60</f>
        <v>27843362.248424999</v>
      </c>
    </row>
    <row r="36" spans="1:17">
      <c r="A36" s="4278" t="s">
        <v>847</v>
      </c>
      <c r="B36" s="4279">
        <v>1933404</v>
      </c>
      <c r="C36" s="4279">
        <v>1940136</v>
      </c>
      <c r="D36" s="4279">
        <v>1943236</v>
      </c>
      <c r="E36" s="4279">
        <v>1938961</v>
      </c>
      <c r="F36" s="4279">
        <v>1935321</v>
      </c>
      <c r="G36" s="4279">
        <v>1935778</v>
      </c>
      <c r="H36" s="4279">
        <v>1930940</v>
      </c>
      <c r="I36" s="4279">
        <v>1941138</v>
      </c>
      <c r="J36" s="4279">
        <v>1549834</v>
      </c>
      <c r="K36" s="4279">
        <v>1614058</v>
      </c>
      <c r="L36" s="4279">
        <v>1491261</v>
      </c>
      <c r="M36" s="4279">
        <v>1491824</v>
      </c>
      <c r="N36" s="4279">
        <v>1490058</v>
      </c>
      <c r="O36" s="4280">
        <v>1489772</v>
      </c>
      <c r="P36" s="4302">
        <f>'OVERALL HE BUDGET SUMMARY'!I61</f>
        <v>1474082</v>
      </c>
      <c r="Q36" s="4302">
        <f>'OVERALL HE BUDGET SUMMARY'!K61</f>
        <v>1478484</v>
      </c>
    </row>
    <row r="37" spans="1:17" s="4277" customFormat="1">
      <c r="A37" s="4281" t="s">
        <v>272</v>
      </c>
      <c r="B37" s="4282">
        <f>B39/(B38+B39)</f>
        <v>0.14269753656991235</v>
      </c>
      <c r="C37" s="4282">
        <f>C39/(C38+C39)</f>
        <v>0.13705605679963576</v>
      </c>
      <c r="D37" s="4282">
        <f>D39/(D38+D39)</f>
        <v>0.13229503776799389</v>
      </c>
      <c r="E37" s="4282">
        <f>E39/(E38+E39)</f>
        <v>0.12779083343510414</v>
      </c>
      <c r="F37" s="4282">
        <f t="shared" ref="F37:O37" si="22">F39/(F38+F39)</f>
        <v>0.10213523116872171</v>
      </c>
      <c r="G37" s="4282">
        <f t="shared" si="22"/>
        <v>8.8869673562841589E-2</v>
      </c>
      <c r="H37" s="4282">
        <f t="shared" si="22"/>
        <v>8.7068145676168995E-2</v>
      </c>
      <c r="I37" s="4282">
        <f t="shared" si="22"/>
        <v>8.2496017394581705E-2</v>
      </c>
      <c r="J37" s="4282">
        <f t="shared" si="22"/>
        <v>0.10216018845735014</v>
      </c>
      <c r="K37" s="4282">
        <f t="shared" si="22"/>
        <v>0.12218764571340278</v>
      </c>
      <c r="L37" s="4282">
        <f t="shared" si="22"/>
        <v>0.13822186551117371</v>
      </c>
      <c r="M37" s="4282">
        <f t="shared" si="22"/>
        <v>0.13655201349445714</v>
      </c>
      <c r="N37" s="4282">
        <f t="shared" si="22"/>
        <v>0.12307305715252534</v>
      </c>
      <c r="O37" s="4283">
        <f t="shared" si="22"/>
        <v>0.1232300276228812</v>
      </c>
      <c r="P37" s="4303">
        <f t="shared" ref="P37:Q37" si="23">P39/(P38+P39)</f>
        <v>0.11979423796238947</v>
      </c>
      <c r="Q37" s="4303">
        <f t="shared" si="23"/>
        <v>0.11983037447297315</v>
      </c>
    </row>
    <row r="38" spans="1:17">
      <c r="A38" s="4278" t="s">
        <v>846</v>
      </c>
      <c r="B38" s="4279">
        <v>27529743</v>
      </c>
      <c r="C38" s="4279">
        <f>28432612+618886</f>
        <v>29051498</v>
      </c>
      <c r="D38" s="4279">
        <v>29769352</v>
      </c>
      <c r="E38" s="4279">
        <v>30953163</v>
      </c>
      <c r="F38" s="4279">
        <f>31883338+500000</f>
        <v>32383338</v>
      </c>
      <c r="G38" s="4279">
        <f>33152780+1000000</f>
        <v>34152780</v>
      </c>
      <c r="H38" s="4279">
        <v>34961547</v>
      </c>
      <c r="I38" s="4279">
        <v>36043187</v>
      </c>
      <c r="J38" s="4279">
        <v>37116951</v>
      </c>
      <c r="K38" s="4279">
        <v>38449705</v>
      </c>
      <c r="L38" s="4279">
        <v>37378801</v>
      </c>
      <c r="M38" s="4279">
        <v>37816896</v>
      </c>
      <c r="N38" s="4279">
        <v>38563049.789421558</v>
      </c>
      <c r="O38" s="4280">
        <v>38563049.789421558</v>
      </c>
      <c r="P38" s="4302">
        <f>'OVERALL HE BUDGET SUMMARY'!I70</f>
        <v>39018966.177733332</v>
      </c>
      <c r="Q38" s="4302">
        <f>'OVERALL HE BUDGET SUMMARY'!K70</f>
        <v>39018966.177733332</v>
      </c>
    </row>
    <row r="39" spans="1:17">
      <c r="A39" s="4278" t="s">
        <v>847</v>
      </c>
      <c r="B39" s="4279">
        <v>4582311</v>
      </c>
      <c r="C39" s="4279">
        <v>4614070</v>
      </c>
      <c r="D39" s="4279">
        <v>4538798</v>
      </c>
      <c r="E39" s="4279">
        <v>4535071</v>
      </c>
      <c r="F39" s="4279">
        <v>3683717</v>
      </c>
      <c r="G39" s="4279">
        <v>3331188</v>
      </c>
      <c r="H39" s="4279">
        <v>3334353</v>
      </c>
      <c r="I39" s="4279">
        <v>3240770</v>
      </c>
      <c r="J39" s="4279">
        <v>4223331</v>
      </c>
      <c r="K39" s="4279">
        <v>5352031</v>
      </c>
      <c r="L39" s="4279">
        <v>5995241</v>
      </c>
      <c r="M39" s="4279">
        <v>5980642</v>
      </c>
      <c r="N39" s="4279">
        <v>5412164</v>
      </c>
      <c r="O39" s="4280">
        <v>5420037</v>
      </c>
      <c r="P39" s="4302">
        <f>'OVERALL HE BUDGET SUMMARY'!I71</f>
        <v>5310403</v>
      </c>
      <c r="Q39" s="4302">
        <f>'OVERALL HE BUDGET SUMMARY'!K71</f>
        <v>5312223</v>
      </c>
    </row>
    <row r="40" spans="1:17" s="4277" customFormat="1">
      <c r="A40" s="4281" t="s">
        <v>277</v>
      </c>
      <c r="B40" s="4282">
        <f>B42/(B41+B42)</f>
        <v>0.1164255461312269</v>
      </c>
      <c r="C40" s="4282">
        <f>C42/(C41+C42)</f>
        <v>0.11416890893936753</v>
      </c>
      <c r="D40" s="4282">
        <f>D42/(D41+D42)</f>
        <v>0.11435173013262973</v>
      </c>
      <c r="E40" s="4282">
        <f>E42/(E41+E42)</f>
        <v>0.11286617587374703</v>
      </c>
      <c r="F40" s="4282">
        <f t="shared" ref="F40:O40" si="24">F42/(F41+F42)</f>
        <v>0.15205784965525582</v>
      </c>
      <c r="G40" s="4282">
        <f t="shared" si="24"/>
        <v>0.14813111165043635</v>
      </c>
      <c r="H40" s="4282">
        <f t="shared" si="24"/>
        <v>0.14659413958502476</v>
      </c>
      <c r="I40" s="4282">
        <f t="shared" si="24"/>
        <v>0.14354019144137131</v>
      </c>
      <c r="J40" s="4282">
        <f t="shared" si="24"/>
        <v>0.20117628123531645</v>
      </c>
      <c r="K40" s="4282">
        <f t="shared" si="24"/>
        <v>0.21401200079043628</v>
      </c>
      <c r="L40" s="4282">
        <f t="shared" si="24"/>
        <v>0.23389662070157552</v>
      </c>
      <c r="M40" s="4282">
        <f t="shared" si="24"/>
        <v>0.22109967087333615</v>
      </c>
      <c r="N40" s="4282">
        <f t="shared" si="24"/>
        <v>0.21520527372067405</v>
      </c>
      <c r="O40" s="4283">
        <f t="shared" si="24"/>
        <v>0.23226029951404362</v>
      </c>
      <c r="P40" s="4303">
        <f t="shared" ref="P40:Q40" si="25">P42/(P41+P42)</f>
        <v>0.20793613659805954</v>
      </c>
      <c r="Q40" s="4303">
        <f t="shared" si="25"/>
        <v>0.20304704208724264</v>
      </c>
    </row>
    <row r="41" spans="1:17">
      <c r="A41" s="4278" t="s">
        <v>846</v>
      </c>
      <c r="B41" s="4279">
        <v>27473857</v>
      </c>
      <c r="C41" s="4279">
        <f>28562986+224340</f>
        <v>28787326</v>
      </c>
      <c r="D41" s="4279">
        <v>30896722</v>
      </c>
      <c r="E41" s="4279">
        <v>31386698</v>
      </c>
      <c r="F41" s="4279">
        <f>32440043+250000</f>
        <v>32690043</v>
      </c>
      <c r="G41" s="4279">
        <f>33096185+600000</f>
        <v>33696185</v>
      </c>
      <c r="H41" s="4279">
        <v>34089286</v>
      </c>
      <c r="I41" s="4279">
        <v>35213023</v>
      </c>
      <c r="J41" s="4279">
        <v>37675499</v>
      </c>
      <c r="K41" s="4279">
        <v>40387429</v>
      </c>
      <c r="L41" s="4279">
        <v>39044222</v>
      </c>
      <c r="M41" s="4279">
        <v>39172365</v>
      </c>
      <c r="N41" s="4279">
        <v>40109492.615774393</v>
      </c>
      <c r="O41" s="4280">
        <v>40109492.615774393</v>
      </c>
      <c r="P41" s="4302">
        <f>'OVERALL HE BUDGET SUMMARY'!I93</f>
        <v>42146853.957666665</v>
      </c>
      <c r="Q41" s="4302">
        <f>'OVERALL HE BUDGET SUMMARY'!K93</f>
        <v>42146853.957666665</v>
      </c>
    </row>
    <row r="42" spans="1:17">
      <c r="A42" s="4278" t="s">
        <v>847</v>
      </c>
      <c r="B42" s="4279">
        <v>3620135</v>
      </c>
      <c r="C42" s="4279">
        <v>3710208</v>
      </c>
      <c r="D42" s="4279">
        <v>3989274</v>
      </c>
      <c r="E42" s="4279">
        <v>3993193</v>
      </c>
      <c r="F42" s="4279">
        <v>5862166</v>
      </c>
      <c r="G42" s="4279">
        <v>5859415</v>
      </c>
      <c r="H42" s="4279">
        <v>5855701</v>
      </c>
      <c r="I42" s="4279">
        <v>5901601</v>
      </c>
      <c r="J42" s="4279">
        <v>9488222</v>
      </c>
      <c r="K42" s="4279">
        <v>10996853</v>
      </c>
      <c r="L42" s="4279">
        <v>11920469</v>
      </c>
      <c r="M42" s="4279">
        <v>11119519</v>
      </c>
      <c r="N42" s="4279">
        <v>10998767</v>
      </c>
      <c r="O42" s="4280">
        <v>12134116.240699068</v>
      </c>
      <c r="P42" s="4302">
        <f>'OVERALL HE BUDGET SUMMARY'!I95</f>
        <v>11064580</v>
      </c>
      <c r="Q42" s="4302">
        <f>'OVERALL HE BUDGET SUMMARY'!K95</f>
        <v>10738142</v>
      </c>
    </row>
    <row r="43" spans="1:17" s="4277" customFormat="1">
      <c r="A43" s="4281" t="s">
        <v>275</v>
      </c>
      <c r="B43" s="4282">
        <f>B45/(B44+B45)</f>
        <v>7.5763425392811792E-2</v>
      </c>
      <c r="C43" s="4282">
        <f>C45/(C44+C45)</f>
        <v>6.969857004294748E-2</v>
      </c>
      <c r="D43" s="4282">
        <f>D45/(D44+D45)</f>
        <v>8.4625599956729552E-2</v>
      </c>
      <c r="E43" s="4282">
        <f>E45/(E44+E45)</f>
        <v>7.7060649168516751E-2</v>
      </c>
      <c r="F43" s="4282">
        <f t="shared" ref="F43:O43" si="26">F45/(F44+F45)</f>
        <v>7.7563195471604771E-2</v>
      </c>
      <c r="G43" s="4282">
        <f t="shared" si="26"/>
        <v>4.3034862328014289E-2</v>
      </c>
      <c r="H43" s="4282">
        <f t="shared" si="26"/>
        <v>8.0529071565462601E-2</v>
      </c>
      <c r="I43" s="4282">
        <f t="shared" si="26"/>
        <v>8.9694250993684388E-2</v>
      </c>
      <c r="J43" s="4282">
        <f t="shared" si="26"/>
        <v>0.11219687276510404</v>
      </c>
      <c r="K43" s="4282">
        <f t="shared" si="26"/>
        <v>0.11734278294021179</v>
      </c>
      <c r="L43" s="4282">
        <f t="shared" si="26"/>
        <v>0.10203322671936255</v>
      </c>
      <c r="M43" s="4282">
        <f t="shared" si="26"/>
        <v>0.11674125824323392</v>
      </c>
      <c r="N43" s="4282">
        <f t="shared" si="26"/>
        <v>0.11611530588787483</v>
      </c>
      <c r="O43" s="4283">
        <f t="shared" si="26"/>
        <v>0.11634246148385229</v>
      </c>
      <c r="P43" s="4303">
        <f t="shared" ref="P43:Q43" si="27">P45/(P44+P45)</f>
        <v>0.11249122876341228</v>
      </c>
      <c r="Q43" s="4303">
        <f t="shared" si="27"/>
        <v>0.11251768723461403</v>
      </c>
    </row>
    <row r="44" spans="1:17">
      <c r="A44" s="4278" t="s">
        <v>846</v>
      </c>
      <c r="B44" s="4279">
        <v>74752683</v>
      </c>
      <c r="C44" s="4279">
        <f>76652244</f>
        <v>76652244</v>
      </c>
      <c r="D44" s="4279">
        <v>77443208</v>
      </c>
      <c r="E44" s="4279">
        <v>78362460</v>
      </c>
      <c r="F44" s="4279">
        <f>77389241+500000</f>
        <v>77889241</v>
      </c>
      <c r="G44" s="4279">
        <f>77929474+1000000</f>
        <v>78929474</v>
      </c>
      <c r="H44" s="4279">
        <v>76085538</v>
      </c>
      <c r="I44" s="4279">
        <v>73911172</v>
      </c>
      <c r="J44" s="4279">
        <v>74899462</v>
      </c>
      <c r="K44" s="4279">
        <v>76911131</v>
      </c>
      <c r="L44" s="4279">
        <v>72442778</v>
      </c>
      <c r="M44" s="4279">
        <v>71536249</v>
      </c>
      <c r="N44" s="4279">
        <v>67650482.922206864</v>
      </c>
      <c r="O44" s="4280">
        <v>67650482.922206864</v>
      </c>
      <c r="P44" s="4302">
        <f>'OVERALL HE BUDGET SUMMARY'!I82</f>
        <v>67308230.930783331</v>
      </c>
      <c r="Q44" s="4302">
        <f>'OVERALL HE BUDGET SUMMARY'!K82</f>
        <v>67308230.930783331</v>
      </c>
    </row>
    <row r="45" spans="1:17">
      <c r="A45" s="4278" t="s">
        <v>847</v>
      </c>
      <c r="B45" s="4279">
        <v>6127781</v>
      </c>
      <c r="C45" s="4279">
        <v>5742818</v>
      </c>
      <c r="D45" s="4279">
        <v>7159560</v>
      </c>
      <c r="E45" s="4279">
        <v>6542859</v>
      </c>
      <c r="F45" s="4279">
        <v>6549325</v>
      </c>
      <c r="G45" s="4279">
        <v>3549470</v>
      </c>
      <c r="H45" s="4279">
        <v>6663721</v>
      </c>
      <c r="I45" s="4279">
        <v>7282616</v>
      </c>
      <c r="J45" s="4279">
        <v>9465483</v>
      </c>
      <c r="K45" s="4279">
        <v>10224769</v>
      </c>
      <c r="L45" s="4279">
        <v>8231452</v>
      </c>
      <c r="M45" s="4279">
        <v>9455023</v>
      </c>
      <c r="N45" s="4279">
        <v>8887196</v>
      </c>
      <c r="O45" s="4280">
        <v>8906871</v>
      </c>
      <c r="P45" s="4302">
        <f>'OVERALL HE BUDGET SUMMARY'!I83</f>
        <v>8531279.744701175</v>
      </c>
      <c r="Q45" s="4302">
        <f>'OVERALL HE BUDGET SUMMARY'!K83</f>
        <v>8533540.744701175</v>
      </c>
    </row>
    <row r="46" spans="1:17" s="4277" customFormat="1">
      <c r="A46" s="4281" t="s">
        <v>276</v>
      </c>
      <c r="B46" s="4282">
        <f>B48/(B47+B48)</f>
        <v>6.2185287944223788E-2</v>
      </c>
      <c r="C46" s="4282">
        <f>C48/(C47+C48)</f>
        <v>6.0331774551721305E-2</v>
      </c>
      <c r="D46" s="4282">
        <f>D48/(D47+D48)</f>
        <v>7.3533548909755803E-2</v>
      </c>
      <c r="E46" s="4282">
        <f>E48/(E47+E48)</f>
        <v>4.9789064729773097E-2</v>
      </c>
      <c r="F46" s="4282">
        <f t="shared" ref="F46:O46" si="28">F48/(F47+F48)</f>
        <v>6.2251501324989113E-2</v>
      </c>
      <c r="G46" s="4282">
        <f t="shared" si="28"/>
        <v>6.087566001736304E-2</v>
      </c>
      <c r="H46" s="4282">
        <f t="shared" si="28"/>
        <v>5.9195377327663154E-2</v>
      </c>
      <c r="I46" s="4282">
        <f t="shared" si="28"/>
        <v>8.0813198146770848E-2</v>
      </c>
      <c r="J46" s="4282">
        <f t="shared" si="28"/>
        <v>9.005324751987083E-2</v>
      </c>
      <c r="K46" s="4282">
        <f t="shared" si="28"/>
        <v>9.7366108558599715E-2</v>
      </c>
      <c r="L46" s="4282">
        <f t="shared" si="28"/>
        <v>8.4215442784897163E-2</v>
      </c>
      <c r="M46" s="4282">
        <f t="shared" si="28"/>
        <v>0.10250198768949906</v>
      </c>
      <c r="N46" s="4282">
        <f t="shared" si="28"/>
        <v>0.10574262367382674</v>
      </c>
      <c r="O46" s="4283">
        <f t="shared" si="28"/>
        <v>0.11003239755111284</v>
      </c>
      <c r="P46" s="4303">
        <f t="shared" ref="P46:Q46" si="29">P48/(P47+P48)</f>
        <v>0.11659433531074319</v>
      </c>
      <c r="Q46" s="4303">
        <f t="shared" si="29"/>
        <v>0.11149511082891181</v>
      </c>
    </row>
    <row r="47" spans="1:17">
      <c r="A47" s="4278" t="s">
        <v>846</v>
      </c>
      <c r="B47" s="4279">
        <v>113926564</v>
      </c>
      <c r="C47" s="4279">
        <v>117598161</v>
      </c>
      <c r="D47" s="4279">
        <v>119201197</v>
      </c>
      <c r="E47" s="4279">
        <v>120915859</v>
      </c>
      <c r="F47" s="4279">
        <f>121165738+750000</f>
        <v>121915738</v>
      </c>
      <c r="G47" s="4279">
        <f>123174106+1700000</f>
        <v>124874106</v>
      </c>
      <c r="H47" s="4279">
        <v>124351153</v>
      </c>
      <c r="I47" s="4279">
        <v>122943120</v>
      </c>
      <c r="J47" s="4279">
        <v>125383857</v>
      </c>
      <c r="K47" s="4279">
        <v>130381244</v>
      </c>
      <c r="L47" s="4279">
        <v>125529452</v>
      </c>
      <c r="M47" s="4279">
        <v>125182828</v>
      </c>
      <c r="N47" s="4279">
        <v>118723015.50744294</v>
      </c>
      <c r="O47" s="4280">
        <v>118723015.50744294</v>
      </c>
      <c r="P47" s="4302">
        <f>'OVERALL HE BUDGET SUMMARY'!I105</f>
        <v>117973174.65491667</v>
      </c>
      <c r="Q47" s="4302">
        <f>'OVERALL HE BUDGET SUMMARY'!K105</f>
        <v>117973174.65491667</v>
      </c>
    </row>
    <row r="48" spans="1:17">
      <c r="A48" s="4278" t="s">
        <v>847</v>
      </c>
      <c r="B48" s="4279">
        <v>7554324</v>
      </c>
      <c r="C48" s="4279">
        <v>7550437</v>
      </c>
      <c r="D48" s="4279">
        <v>9460987</v>
      </c>
      <c r="E48" s="4279">
        <v>6335738</v>
      </c>
      <c r="F48" s="4279">
        <v>8093255</v>
      </c>
      <c r="G48" s="4279">
        <v>8094555</v>
      </c>
      <c r="H48" s="4279">
        <v>7824168</v>
      </c>
      <c r="I48" s="4279">
        <v>10808931</v>
      </c>
      <c r="J48" s="4279">
        <v>12408664</v>
      </c>
      <c r="K48" s="4279">
        <v>14064079</v>
      </c>
      <c r="L48" s="4279">
        <v>11543674</v>
      </c>
      <c r="M48" s="4279">
        <v>14296955</v>
      </c>
      <c r="N48" s="4279">
        <v>14038557</v>
      </c>
      <c r="O48" s="4280">
        <v>14678487.177326385</v>
      </c>
      <c r="P48" s="4302">
        <f>'OVERALL HE BUDGET SUMMARY'!I106</f>
        <v>15570427.531983994</v>
      </c>
      <c r="Q48" s="4302">
        <f>'OVERALL HE BUDGET SUMMARY'!K106</f>
        <v>14804006.531983994</v>
      </c>
    </row>
    <row r="49" spans="1:17" s="4277" customFormat="1">
      <c r="A49" s="4281" t="s">
        <v>848</v>
      </c>
      <c r="B49" s="4282">
        <f>B51/(B50+B51)</f>
        <v>8.6795267365543327E-2</v>
      </c>
      <c r="C49" s="4282">
        <f>C51/(C50+C51)</f>
        <v>8.224423058239734E-2</v>
      </c>
      <c r="D49" s="4282">
        <f>D51/(D50+D51)</f>
        <v>8.810637321846565E-2</v>
      </c>
      <c r="E49" s="4282">
        <f>E51/(E50+E51)</f>
        <v>7.4613451462469824E-2</v>
      </c>
      <c r="F49" s="4282">
        <f t="shared" ref="F49:O49" si="30">F51/(F50+F51)</f>
        <v>7.1115214589716008E-2</v>
      </c>
      <c r="G49" s="4282">
        <f t="shared" si="30"/>
        <v>7.394059069094859E-2</v>
      </c>
      <c r="H49" s="4282">
        <f t="shared" si="30"/>
        <v>7.8203384971843412E-2</v>
      </c>
      <c r="I49" s="4282">
        <f t="shared" si="30"/>
        <v>8.3466748657998038E-2</v>
      </c>
      <c r="J49" s="4282">
        <f t="shared" si="30"/>
        <v>0.11921991957916026</v>
      </c>
      <c r="K49" s="4282">
        <f t="shared" si="30"/>
        <v>0.14690315968130815</v>
      </c>
      <c r="L49" s="4282">
        <f t="shared" si="30"/>
        <v>0.139507609856591</v>
      </c>
      <c r="M49" s="4282">
        <f t="shared" si="30"/>
        <v>0.15060766092141251</v>
      </c>
      <c r="N49" s="4282">
        <f t="shared" si="30"/>
        <v>0.13789536713596776</v>
      </c>
      <c r="O49" s="4283">
        <f t="shared" si="30"/>
        <v>0.14181554213962844</v>
      </c>
      <c r="P49" s="4303">
        <f t="shared" ref="P49:Q49" si="31">P51/(P50+P51)</f>
        <v>0.14464555731687398</v>
      </c>
      <c r="Q49" s="4303">
        <f t="shared" si="31"/>
        <v>0.1429423962986115</v>
      </c>
    </row>
    <row r="50" spans="1:17">
      <c r="A50" s="4278" t="s">
        <v>846</v>
      </c>
      <c r="B50" s="4279">
        <f>86146142+1510763</f>
        <v>87656905</v>
      </c>
      <c r="C50" s="4279">
        <f>89897677+3074402</f>
        <v>92972079</v>
      </c>
      <c r="D50" s="4279">
        <v>103954957</v>
      </c>
      <c r="E50" s="4279">
        <v>106803011</v>
      </c>
      <c r="F50" s="4279">
        <f>116718755+800000</f>
        <v>117518755</v>
      </c>
      <c r="G50" s="4279">
        <f>127032337+1500000</f>
        <v>128532337</v>
      </c>
      <c r="H50" s="4279">
        <v>138587242</v>
      </c>
      <c r="I50" s="4279">
        <v>144061470</v>
      </c>
      <c r="J50" s="4279">
        <v>153209449</v>
      </c>
      <c r="K50" s="4279">
        <v>162415053</v>
      </c>
      <c r="L50" s="4279">
        <v>164419166</v>
      </c>
      <c r="M50" s="4279">
        <v>175842161</v>
      </c>
      <c r="N50" s="4279">
        <v>186417941.05701017</v>
      </c>
      <c r="O50" s="4280">
        <v>186417941.05701017</v>
      </c>
      <c r="P50" s="4302">
        <f>'OVERALL HE BUDGET SUMMARY'!I128</f>
        <v>200314690.56650001</v>
      </c>
      <c r="Q50" s="4302">
        <f>'OVERALL HE BUDGET SUMMARY'!K128</f>
        <v>200314690.56650001</v>
      </c>
    </row>
    <row r="51" spans="1:17">
      <c r="A51" s="4278" t="s">
        <v>847</v>
      </c>
      <c r="B51" s="4279">
        <v>8331324</v>
      </c>
      <c r="C51" s="4279">
        <v>8331647</v>
      </c>
      <c r="D51" s="4279">
        <v>10044038</v>
      </c>
      <c r="E51" s="4279">
        <v>8611473</v>
      </c>
      <c r="F51" s="4279">
        <v>8997210</v>
      </c>
      <c r="G51" s="4279">
        <v>10262578</v>
      </c>
      <c r="H51" s="4279">
        <v>11757465</v>
      </c>
      <c r="I51" s="4279">
        <v>13119374</v>
      </c>
      <c r="J51" s="4279">
        <v>20738001</v>
      </c>
      <c r="K51" s="4279">
        <v>27967850</v>
      </c>
      <c r="L51" s="4279">
        <v>26656511</v>
      </c>
      <c r="M51" s="4279">
        <v>31178968</v>
      </c>
      <c r="N51" s="4279">
        <v>29817924</v>
      </c>
      <c r="O51" s="4280">
        <v>30805686.50877915</v>
      </c>
      <c r="P51" s="4302">
        <f>'OVERALL HE BUDGET SUMMARY'!I129</f>
        <v>33874413.471050933</v>
      </c>
      <c r="Q51" s="4302">
        <f>'OVERALL HE BUDGET SUMMARY'!K129</f>
        <v>33409028.471050933</v>
      </c>
    </row>
    <row r="52" spans="1:17" s="4277" customFormat="1">
      <c r="A52" s="4281" t="s">
        <v>278</v>
      </c>
      <c r="B52" s="4282">
        <f>B54/(B53+B54)</f>
        <v>9.2013350991211995E-2</v>
      </c>
      <c r="C52" s="4282">
        <f>C54/(C53+C54)</f>
        <v>8.785692517704459E-2</v>
      </c>
      <c r="D52" s="4282">
        <f>D54/(D53+D54)</f>
        <v>6.2049463881948777E-2</v>
      </c>
      <c r="E52" s="4282">
        <f>E54/(E53+E54)</f>
        <v>5.4534380559687533E-2</v>
      </c>
      <c r="F52" s="4282">
        <f t="shared" ref="F52:O52" si="32">F54/(F53+F54)</f>
        <v>7.3225205537956611E-2</v>
      </c>
      <c r="G52" s="4282">
        <f t="shared" si="32"/>
        <v>6.915829263381218E-2</v>
      </c>
      <c r="H52" s="4282">
        <f t="shared" si="32"/>
        <v>8.089218706314967E-2</v>
      </c>
      <c r="I52" s="4282">
        <f t="shared" si="32"/>
        <v>9.5910234085717236E-2</v>
      </c>
      <c r="J52" s="4282">
        <f t="shared" si="32"/>
        <v>0.12536384848984095</v>
      </c>
      <c r="K52" s="4282">
        <f t="shared" si="32"/>
        <v>0.14672488457605537</v>
      </c>
      <c r="L52" s="4282">
        <f t="shared" si="32"/>
        <v>0.12356263420410642</v>
      </c>
      <c r="M52" s="4282">
        <f t="shared" si="32"/>
        <v>0.12437636260927744</v>
      </c>
      <c r="N52" s="4282">
        <f t="shared" si="32"/>
        <v>0.10069281516090098</v>
      </c>
      <c r="O52" s="4283">
        <f t="shared" si="32"/>
        <v>0.11546776344728674</v>
      </c>
      <c r="P52" s="4303">
        <f t="shared" ref="P52:Q52" si="33">P54/(P53+P54)</f>
        <v>0.10924181313022435</v>
      </c>
      <c r="Q52" s="4303">
        <f t="shared" si="33"/>
        <v>0.10931398313950555</v>
      </c>
    </row>
    <row r="53" spans="1:17">
      <c r="A53" s="4278" t="s">
        <v>846</v>
      </c>
      <c r="B53" s="4279">
        <f>27716075+540820</f>
        <v>28256895</v>
      </c>
      <c r="C53" s="4279">
        <f>28698390+1100569</f>
        <v>29798959</v>
      </c>
      <c r="D53" s="4279">
        <v>31297556</v>
      </c>
      <c r="E53" s="4279">
        <v>32132864</v>
      </c>
      <c r="F53" s="4279">
        <f>33222987+525000</f>
        <v>33747987</v>
      </c>
      <c r="G53" s="4279">
        <f>34866027+1065000</f>
        <v>35931027</v>
      </c>
      <c r="H53" s="4279">
        <v>36654617</v>
      </c>
      <c r="I53" s="4279">
        <v>36403169</v>
      </c>
      <c r="J53" s="4279">
        <v>37427299</v>
      </c>
      <c r="K53" s="4279">
        <v>38967141</v>
      </c>
      <c r="L53" s="4279">
        <v>37420510</v>
      </c>
      <c r="M53" s="4279">
        <v>37190537</v>
      </c>
      <c r="N53" s="4279">
        <v>37302378.081069641</v>
      </c>
      <c r="O53" s="4280">
        <v>37302378.081069641</v>
      </c>
      <c r="P53" s="4302">
        <f>'OVERALL HE BUDGET SUMMARY'!I116</f>
        <v>39026180.489591368</v>
      </c>
      <c r="Q53" s="4302">
        <f>'OVERALL HE BUDGET SUMMARY'!K116</f>
        <v>39026180.489591368</v>
      </c>
    </row>
    <row r="54" spans="1:17" ht="15" thickBot="1">
      <c r="A54" s="4288" t="s">
        <v>847</v>
      </c>
      <c r="B54" s="4289">
        <v>2863491</v>
      </c>
      <c r="C54" s="4289">
        <v>2870213</v>
      </c>
      <c r="D54" s="4289">
        <v>2070468</v>
      </c>
      <c r="E54" s="4289">
        <v>1853421</v>
      </c>
      <c r="F54" s="4289">
        <v>2666455</v>
      </c>
      <c r="G54" s="4289">
        <v>2669550</v>
      </c>
      <c r="H54" s="4289">
        <v>3226033</v>
      </c>
      <c r="I54" s="4289">
        <v>3861825</v>
      </c>
      <c r="J54" s="4289">
        <v>5364551</v>
      </c>
      <c r="K54" s="4289">
        <v>6700593</v>
      </c>
      <c r="L54" s="4289">
        <v>5275650</v>
      </c>
      <c r="M54" s="4289">
        <v>5282662</v>
      </c>
      <c r="N54" s="4289">
        <v>4176639</v>
      </c>
      <c r="O54" s="4290">
        <v>4869491.4558148114</v>
      </c>
      <c r="P54" s="4304">
        <f>'OVERALL HE BUDGET SUMMARY'!I118</f>
        <v>4786137</v>
      </c>
      <c r="Q54" s="4304">
        <f>'OVERALL HE BUDGET SUMMARY'!K118</f>
        <v>4789687</v>
      </c>
    </row>
    <row r="55" spans="1:17" ht="15" thickBot="1">
      <c r="A55" s="4278"/>
      <c r="B55" s="4270"/>
      <c r="C55" s="4270"/>
      <c r="D55" s="4270"/>
      <c r="E55" s="4270"/>
      <c r="F55" s="4270"/>
      <c r="G55" s="4270"/>
      <c r="H55" s="4270"/>
      <c r="I55" s="4270"/>
      <c r="J55" s="4270"/>
      <c r="K55" s="4270"/>
      <c r="P55" s="4305"/>
      <c r="Q55" s="4305"/>
    </row>
    <row r="56" spans="1:17">
      <c r="A56" s="4274" t="s">
        <v>615</v>
      </c>
      <c r="B56" s="4275">
        <f>B58/(B57+B58)</f>
        <v>9.2705897037307722E-2</v>
      </c>
      <c r="C56" s="4275">
        <f>C58/(C57+C58)</f>
        <v>9.1861998845286313E-2</v>
      </c>
      <c r="D56" s="4275">
        <f>D58/(D57+D58)</f>
        <v>9.5795601604881389E-2</v>
      </c>
      <c r="E56" s="4275">
        <f>E58/(E57+E58)</f>
        <v>9.2116759030969428E-2</v>
      </c>
      <c r="F56" s="4275">
        <f t="shared" ref="F56:O56" si="34">F58/(F57+F58)</f>
        <v>9.1070168070485444E-2</v>
      </c>
      <c r="G56" s="4275">
        <f t="shared" si="34"/>
        <v>8.356466890710211E-2</v>
      </c>
      <c r="H56" s="4275">
        <f t="shared" si="34"/>
        <v>8.7727253060448096E-2</v>
      </c>
      <c r="I56" s="4275">
        <f t="shared" si="34"/>
        <v>9.973174644847993E-2</v>
      </c>
      <c r="J56" s="4275">
        <f t="shared" si="34"/>
        <v>0.11357208298301819</v>
      </c>
      <c r="K56" s="4275">
        <f t="shared" si="34"/>
        <v>0.12114966333277645</v>
      </c>
      <c r="L56" s="4275">
        <f t="shared" si="34"/>
        <v>0.11969734339321095</v>
      </c>
      <c r="M56" s="4275">
        <f t="shared" si="34"/>
        <v>0.12607633977155364</v>
      </c>
      <c r="N56" s="4275">
        <f t="shared" si="34"/>
        <v>0.11091350611132533</v>
      </c>
      <c r="O56" s="4276">
        <f t="shared" si="34"/>
        <v>0.1110852672710984</v>
      </c>
      <c r="P56" s="4301">
        <f t="shared" ref="P56:Q56" si="35">P58/(P57+P58)</f>
        <v>0.11071102161747932</v>
      </c>
      <c r="Q56" s="4301">
        <f t="shared" si="35"/>
        <v>0.1093382315808322</v>
      </c>
    </row>
    <row r="57" spans="1:17">
      <c r="A57" s="4281" t="s">
        <v>846</v>
      </c>
      <c r="B57" s="4291">
        <f>SUMIF($A$4:$A$54,$A$57,B4:B54)</f>
        <v>1025421585</v>
      </c>
      <c r="C57" s="4291">
        <f>SUMIF($A$4:$A$54,$A$57,C4:C54)</f>
        <v>1067357407</v>
      </c>
      <c r="D57" s="4291">
        <f>SUMIF($A$4:$A$54,$A$57,D4:D54)</f>
        <v>1091999062</v>
      </c>
      <c r="E57" s="4291">
        <f>SUMIF($A$4:$A$54,$A$57,E4:E54)</f>
        <v>1117743617</v>
      </c>
      <c r="F57" s="4291">
        <f t="shared" ref="F57:O57" si="36">SUMIF($A$4:$A$54,$A$57,F4:F54)</f>
        <v>1138601544</v>
      </c>
      <c r="G57" s="4291">
        <f t="shared" si="36"/>
        <v>1176072585</v>
      </c>
      <c r="H57" s="4291">
        <f t="shared" si="36"/>
        <v>1179247134</v>
      </c>
      <c r="I57" s="4291">
        <f t="shared" si="36"/>
        <v>1183865774</v>
      </c>
      <c r="J57" s="4291">
        <f t="shared" si="36"/>
        <v>1225628211</v>
      </c>
      <c r="K57" s="4291">
        <f t="shared" si="36"/>
        <v>1280961099</v>
      </c>
      <c r="L57" s="4291">
        <f t="shared" si="36"/>
        <v>1232147725</v>
      </c>
      <c r="M57" s="4291">
        <f t="shared" si="36"/>
        <v>1228799414</v>
      </c>
      <c r="N57" s="4291">
        <f t="shared" si="36"/>
        <v>1215309286.3888376</v>
      </c>
      <c r="O57" s="4292">
        <f t="shared" si="36"/>
        <v>1215309286.3888376</v>
      </c>
      <c r="P57" s="4306">
        <f t="shared" ref="P57:Q57" si="37">SUMIF($A$4:$A$54,$A$57,P4:P54)</f>
        <v>1261170332.8835557</v>
      </c>
      <c r="Q57" s="4306">
        <f t="shared" si="37"/>
        <v>1261170332.8835557</v>
      </c>
    </row>
    <row r="58" spans="1:17" ht="15" thickBot="1">
      <c r="A58" s="4293" t="s">
        <v>847</v>
      </c>
      <c r="B58" s="4294">
        <f>SUMIF($A$4:$A$54,$A$58,B4:B54)</f>
        <v>104775979</v>
      </c>
      <c r="C58" s="4294">
        <f>SUMIF($A$4:$A$54,$A$58,C4:C54)</f>
        <v>107967715</v>
      </c>
      <c r="D58" s="4294">
        <f>SUMIF($A$4:$A$54,$A$58,D4:D54)</f>
        <v>115691438</v>
      </c>
      <c r="E58" s="4294">
        <f>SUMIF($A$4:$A$54,$A$58,E4:E54)</f>
        <v>113409869</v>
      </c>
      <c r="F58" s="4294">
        <f t="shared" ref="F58:O58" si="38">SUMIF($A$4:$A$54,$A$58,F4:F54)</f>
        <v>114082111</v>
      </c>
      <c r="G58" s="4294">
        <f t="shared" si="38"/>
        <v>107239554</v>
      </c>
      <c r="H58" s="4294">
        <f t="shared" si="38"/>
        <v>113400419</v>
      </c>
      <c r="I58" s="4294">
        <f t="shared" si="38"/>
        <v>131148689</v>
      </c>
      <c r="J58" s="4294">
        <f t="shared" si="38"/>
        <v>157031549</v>
      </c>
      <c r="K58" s="4294">
        <f t="shared" si="38"/>
        <v>176580698</v>
      </c>
      <c r="L58" s="4294">
        <f t="shared" si="38"/>
        <v>167538753</v>
      </c>
      <c r="M58" s="4294">
        <f t="shared" si="38"/>
        <v>177272386</v>
      </c>
      <c r="N58" s="4294">
        <f t="shared" si="38"/>
        <v>151609787</v>
      </c>
      <c r="O58" s="4295">
        <f t="shared" si="38"/>
        <v>151873910.87680921</v>
      </c>
      <c r="P58" s="4307">
        <f t="shared" ref="P58:Q58" si="39">SUMIF($A$4:$A$54,$A$58,P4:P54)</f>
        <v>157007968.59211284</v>
      </c>
      <c r="Q58" s="4307">
        <f t="shared" si="39"/>
        <v>154822109.59211284</v>
      </c>
    </row>
    <row r="59" spans="1:17" ht="15" thickBot="1">
      <c r="P59" s="4305"/>
      <c r="Q59" s="4305"/>
    </row>
    <row r="60" spans="1:17">
      <c r="A60" s="4274" t="s">
        <v>849</v>
      </c>
      <c r="B60" s="4275">
        <f>B62/(B61+B62)</f>
        <v>9.9961339879290234E-2</v>
      </c>
      <c r="C60" s="4275">
        <f>C62/(C61+C62)</f>
        <v>0.10253536863378669</v>
      </c>
      <c r="D60" s="4275">
        <f>D62/(D61+D62)</f>
        <v>0.10163311835881912</v>
      </c>
      <c r="E60" s="4275">
        <f>E62/(E61+E62)</f>
        <v>0.10452935053254712</v>
      </c>
      <c r="F60" s="4275">
        <f t="shared" ref="F60:O60" si="40">F62/(F61+F62)</f>
        <v>0.10571343432338816</v>
      </c>
      <c r="G60" s="4275">
        <f t="shared" si="40"/>
        <v>0.10428707104812165</v>
      </c>
      <c r="H60" s="4275">
        <f t="shared" si="40"/>
        <v>0.10735380095708669</v>
      </c>
      <c r="I60" s="4275">
        <f t="shared" si="40"/>
        <v>0.1229927148447232</v>
      </c>
      <c r="J60" s="4275">
        <f t="shared" si="40"/>
        <v>0.12899998133823634</v>
      </c>
      <c r="K60" s="4275">
        <f t="shared" si="40"/>
        <v>0.13018969511704379</v>
      </c>
      <c r="L60" s="4275">
        <f t="shared" si="40"/>
        <v>0.12939205861979752</v>
      </c>
      <c r="M60" s="4416">
        <f t="shared" si="40"/>
        <v>0.13299557193926773</v>
      </c>
      <c r="N60" s="4275">
        <f t="shared" si="40"/>
        <v>0.10237168270011462</v>
      </c>
      <c r="O60" s="4276">
        <f t="shared" si="40"/>
        <v>9.6383888363460804E-2</v>
      </c>
      <c r="P60" s="4301">
        <f t="shared" ref="P60:Q60" si="41">P62/(P61+P62)</f>
        <v>0.10153621554554734</v>
      </c>
      <c r="Q60" s="4301">
        <f t="shared" si="41"/>
        <v>0.1013216488095172</v>
      </c>
    </row>
    <row r="61" spans="1:17">
      <c r="A61" s="4278" t="s">
        <v>846</v>
      </c>
      <c r="B61" s="4296">
        <f t="shared" ref="B61:O62" si="42">B5+B8+B11+B14+B17+B20+B23+B26</f>
        <v>414945395</v>
      </c>
      <c r="C61" s="4296">
        <f t="shared" si="42"/>
        <v>432881141</v>
      </c>
      <c r="D61" s="4296">
        <f t="shared" si="42"/>
        <v>435983862</v>
      </c>
      <c r="E61" s="4296">
        <f t="shared" si="42"/>
        <v>448900658</v>
      </c>
      <c r="F61" s="4296">
        <f t="shared" si="42"/>
        <v>453048215</v>
      </c>
      <c r="G61" s="4296">
        <f t="shared" si="42"/>
        <v>462981430</v>
      </c>
      <c r="H61" s="4296">
        <f t="shared" si="42"/>
        <v>458996460</v>
      </c>
      <c r="I61" s="4296">
        <f t="shared" si="42"/>
        <v>456865552</v>
      </c>
      <c r="J61" s="4296">
        <f t="shared" si="42"/>
        <v>471723753</v>
      </c>
      <c r="K61" s="4296">
        <f t="shared" si="42"/>
        <v>491233131</v>
      </c>
      <c r="L61" s="4296">
        <f t="shared" si="42"/>
        <v>468983593</v>
      </c>
      <c r="M61" s="4296">
        <f t="shared" si="42"/>
        <v>461889295</v>
      </c>
      <c r="N61" s="4296">
        <f t="shared" si="42"/>
        <v>452781042.84804863</v>
      </c>
      <c r="O61" s="4297">
        <f t="shared" si="42"/>
        <v>452781042.84804863</v>
      </c>
      <c r="P61" s="4308">
        <f t="shared" ref="P61:Q61" si="43">P5+P8+P11+P14+P17+P20+P23+P26</f>
        <v>469292637.00915253</v>
      </c>
      <c r="Q61" s="4308">
        <f t="shared" si="43"/>
        <v>469292637.00915253</v>
      </c>
    </row>
    <row r="62" spans="1:17">
      <c r="A62" s="4278" t="s">
        <v>847</v>
      </c>
      <c r="B62" s="4296">
        <f t="shared" si="42"/>
        <v>46085240</v>
      </c>
      <c r="C62" s="4296">
        <f t="shared" si="42"/>
        <v>49456687</v>
      </c>
      <c r="D62" s="4296">
        <f t="shared" si="42"/>
        <v>49323278</v>
      </c>
      <c r="E62" s="4296">
        <f t="shared" si="42"/>
        <v>52400706</v>
      </c>
      <c r="F62" s="4296">
        <f t="shared" si="42"/>
        <v>53554738</v>
      </c>
      <c r="G62" s="4296">
        <f t="shared" si="42"/>
        <v>53904522</v>
      </c>
      <c r="H62" s="4296">
        <f t="shared" si="42"/>
        <v>55201058</v>
      </c>
      <c r="I62" s="4296">
        <f t="shared" si="42"/>
        <v>64071457</v>
      </c>
      <c r="J62" s="4296">
        <f t="shared" si="42"/>
        <v>69864930</v>
      </c>
      <c r="K62" s="4296">
        <f t="shared" si="42"/>
        <v>73525792</v>
      </c>
      <c r="L62" s="4296">
        <f t="shared" si="42"/>
        <v>69701584</v>
      </c>
      <c r="M62" s="4296">
        <f t="shared" si="42"/>
        <v>70852269</v>
      </c>
      <c r="N62" s="4296">
        <f t="shared" si="42"/>
        <v>51638252</v>
      </c>
      <c r="O62" s="4297">
        <f t="shared" si="42"/>
        <v>48295727.494189799</v>
      </c>
      <c r="P62" s="4308">
        <f t="shared" ref="P62:Q62" si="44">P6+P9+P12+P15+P18+P21+P24+P27</f>
        <v>53035190.922283895</v>
      </c>
      <c r="Q62" s="4308">
        <f t="shared" si="44"/>
        <v>52910480.922283895</v>
      </c>
    </row>
    <row r="63" spans="1:17">
      <c r="A63" s="4278"/>
      <c r="B63" s="4296"/>
      <c r="C63" s="4296"/>
      <c r="D63" s="4296"/>
      <c r="E63" s="4296"/>
      <c r="F63" s="4296"/>
      <c r="G63" s="4296"/>
      <c r="H63" s="4296"/>
      <c r="I63" s="4296"/>
      <c r="J63" s="4296"/>
      <c r="K63" s="4296"/>
      <c r="L63" s="4296"/>
      <c r="M63" s="4296"/>
      <c r="N63" s="4296"/>
      <c r="O63" s="4297"/>
      <c r="P63" s="4308"/>
      <c r="Q63" s="4308"/>
    </row>
    <row r="64" spans="1:17">
      <c r="A64" s="4281" t="s">
        <v>850</v>
      </c>
      <c r="B64" s="4282">
        <f>B66/(B65+B66)</f>
        <v>8.8153284209454674E-2</v>
      </c>
      <c r="C64" s="4282">
        <f>C66/(C65+C66)</f>
        <v>8.8472947474636215E-2</v>
      </c>
      <c r="D64" s="4282">
        <f>D66/(D65+D66)</f>
        <v>7.7708538275735442E-2</v>
      </c>
      <c r="E64" s="4282">
        <f>E66/(E65+E66)</f>
        <v>9.0115907100393827E-2</v>
      </c>
      <c r="F64" s="4282">
        <f t="shared" ref="F64:O64" si="45">F66/(F65+F66)</f>
        <v>9.5820014465556769E-2</v>
      </c>
      <c r="G64" s="4282">
        <f t="shared" si="45"/>
        <v>9.4006561307236169E-2</v>
      </c>
      <c r="H64" s="4282">
        <f t="shared" si="45"/>
        <v>8.8625054887296661E-2</v>
      </c>
      <c r="I64" s="4282">
        <f t="shared" si="45"/>
        <v>9.4643037858977208E-2</v>
      </c>
      <c r="J64" s="4282">
        <f t="shared" si="45"/>
        <v>0.11176638448696846</v>
      </c>
      <c r="K64" s="4282">
        <f t="shared" si="45"/>
        <v>0.1128298459473038</v>
      </c>
      <c r="L64" s="4282">
        <f t="shared" si="45"/>
        <v>0.10973281130101596</v>
      </c>
      <c r="M64" s="4282">
        <f t="shared" si="45"/>
        <v>8.3157578298338128E-2</v>
      </c>
      <c r="N64" s="4282">
        <f t="shared" si="45"/>
        <v>7.3477332203891577E-2</v>
      </c>
      <c r="O64" s="4283">
        <f t="shared" si="45"/>
        <v>8.9682814593064944E-2</v>
      </c>
      <c r="P64" s="4303">
        <f t="shared" ref="P64:Q64" si="46">P66/(P65+P66)</f>
        <v>8.3035583655583195E-2</v>
      </c>
      <c r="Q64" s="4303">
        <f t="shared" si="46"/>
        <v>8.475121245910272E-2</v>
      </c>
    </row>
    <row r="65" spans="1:17">
      <c r="A65" s="4278" t="s">
        <v>846</v>
      </c>
      <c r="B65" s="4296">
        <f t="shared" ref="B65:O66" si="47">B23+B26</f>
        <v>170875715</v>
      </c>
      <c r="C65" s="4296">
        <f t="shared" si="47"/>
        <v>176940536</v>
      </c>
      <c r="D65" s="4296">
        <f t="shared" si="47"/>
        <v>179351725</v>
      </c>
      <c r="E65" s="4296">
        <f t="shared" si="47"/>
        <v>182933276</v>
      </c>
      <c r="F65" s="4296">
        <f t="shared" si="47"/>
        <v>185620725</v>
      </c>
      <c r="G65" s="4296">
        <f t="shared" si="47"/>
        <v>190657329</v>
      </c>
      <c r="H65" s="4296">
        <f t="shared" si="47"/>
        <v>189793342</v>
      </c>
      <c r="I65" s="4296">
        <f t="shared" si="47"/>
        <v>187949124</v>
      </c>
      <c r="J65" s="4296">
        <f t="shared" si="47"/>
        <v>199156493</v>
      </c>
      <c r="K65" s="4296">
        <f t="shared" si="47"/>
        <v>207745238</v>
      </c>
      <c r="L65" s="4296">
        <f t="shared" si="47"/>
        <v>196283463</v>
      </c>
      <c r="M65" s="4296">
        <f t="shared" si="47"/>
        <v>194408062</v>
      </c>
      <c r="N65" s="4296">
        <f t="shared" si="47"/>
        <v>195817865.34202233</v>
      </c>
      <c r="O65" s="4297">
        <f t="shared" si="47"/>
        <v>195817865.34202233</v>
      </c>
      <c r="P65" s="4308">
        <f t="shared" ref="P65:Q65" si="48">P23+P26</f>
        <v>205375196.37123752</v>
      </c>
      <c r="Q65" s="4308">
        <f t="shared" si="48"/>
        <v>205375196.37123752</v>
      </c>
    </row>
    <row r="66" spans="1:17">
      <c r="A66" s="4278" t="s">
        <v>847</v>
      </c>
      <c r="B66" s="4296">
        <f t="shared" si="47"/>
        <v>16519504</v>
      </c>
      <c r="C66" s="4296">
        <f t="shared" si="47"/>
        <v>17173874</v>
      </c>
      <c r="D66" s="4296">
        <f t="shared" si="47"/>
        <v>15111449</v>
      </c>
      <c r="E66" s="4296">
        <f t="shared" si="47"/>
        <v>18117910</v>
      </c>
      <c r="F66" s="4296">
        <f t="shared" si="47"/>
        <v>19671062</v>
      </c>
      <c r="G66" s="4296">
        <f t="shared" si="47"/>
        <v>19782748</v>
      </c>
      <c r="H66" s="4296">
        <f t="shared" si="47"/>
        <v>18456120</v>
      </c>
      <c r="I66" s="4296">
        <f t="shared" si="47"/>
        <v>19647583</v>
      </c>
      <c r="J66" s="4296">
        <f t="shared" si="47"/>
        <v>25059850</v>
      </c>
      <c r="K66" s="4296">
        <f t="shared" si="47"/>
        <v>26420933</v>
      </c>
      <c r="L66" s="4296">
        <f t="shared" si="47"/>
        <v>24193564</v>
      </c>
      <c r="M66" s="4296">
        <f t="shared" si="47"/>
        <v>17632805</v>
      </c>
      <c r="N66" s="4296">
        <f t="shared" si="47"/>
        <v>15529220</v>
      </c>
      <c r="O66" s="4297">
        <f t="shared" si="47"/>
        <v>19291624.494189799</v>
      </c>
      <c r="P66" s="4308">
        <f t="shared" ref="P66:Q66" si="49">P24+P27</f>
        <v>18597722</v>
      </c>
      <c r="Q66" s="4308">
        <f t="shared" si="49"/>
        <v>19017558</v>
      </c>
    </row>
    <row r="67" spans="1:17">
      <c r="A67" s="4278"/>
      <c r="B67" s="4296"/>
      <c r="C67" s="4296"/>
      <c r="D67" s="4296"/>
      <c r="E67" s="4296"/>
      <c r="F67" s="4296"/>
      <c r="G67" s="4296"/>
      <c r="H67" s="4296"/>
      <c r="I67" s="4296"/>
      <c r="J67" s="4296"/>
      <c r="K67" s="4296"/>
      <c r="L67" s="4296"/>
      <c r="M67" s="4296"/>
      <c r="N67" s="4296"/>
      <c r="O67" s="4297"/>
      <c r="P67" s="4308"/>
      <c r="Q67" s="4308"/>
    </row>
    <row r="68" spans="1:17">
      <c r="A68" s="4281" t="s">
        <v>851</v>
      </c>
      <c r="B68" s="4282">
        <f>B70/(B69+B70)</f>
        <v>0.1080479143825447</v>
      </c>
      <c r="C68" s="4282">
        <f>C70/(C69+C70)</f>
        <v>0.11200621109836398</v>
      </c>
      <c r="D68" s="4282">
        <f>D70/(D69+D70)</f>
        <v>0.11762949553507326</v>
      </c>
      <c r="E68" s="4282">
        <f>E70/(E69+E70)</f>
        <v>0.11418076827917817</v>
      </c>
      <c r="F68" s="4282">
        <f t="shared" ref="F68:O68" si="50">F70/(F69+F70)</f>
        <v>0.11245410002495559</v>
      </c>
      <c r="G68" s="4282">
        <f t="shared" si="50"/>
        <v>0.11134682103324119</v>
      </c>
      <c r="H68" s="4282">
        <f t="shared" si="50"/>
        <v>0.12010188422311793</v>
      </c>
      <c r="I68" s="4282">
        <f t="shared" si="50"/>
        <v>0.14177516813652652</v>
      </c>
      <c r="J68" s="4282">
        <f t="shared" si="50"/>
        <v>0.14117512572141605</v>
      </c>
      <c r="K68" s="4282">
        <f t="shared" si="50"/>
        <v>0.14248606091642324</v>
      </c>
      <c r="L68" s="4282">
        <f t="shared" si="50"/>
        <v>0.1430133703363663</v>
      </c>
      <c r="M68" s="4282">
        <f t="shared" si="50"/>
        <v>0.16594745349119089</v>
      </c>
      <c r="N68" s="4282">
        <f t="shared" si="50"/>
        <v>0.12320865243709678</v>
      </c>
      <c r="O68" s="4283">
        <f t="shared" si="50"/>
        <v>0.10142455090902887</v>
      </c>
      <c r="P68" s="4303">
        <f t="shared" ref="P68:Q68" si="51">P70/(P69+P70)</f>
        <v>0.11542450892813436</v>
      </c>
      <c r="Q68" s="4303">
        <f t="shared" si="51"/>
        <v>0.11380706338459183</v>
      </c>
    </row>
    <row r="69" spans="1:17">
      <c r="A69" s="4278" t="s">
        <v>852</v>
      </c>
      <c r="B69" s="4296">
        <f t="shared" ref="B69:O70" si="52">B61-B65</f>
        <v>244069680</v>
      </c>
      <c r="C69" s="4296">
        <f t="shared" si="52"/>
        <v>255940605</v>
      </c>
      <c r="D69" s="4296">
        <f t="shared" si="52"/>
        <v>256632137</v>
      </c>
      <c r="E69" s="4296">
        <f t="shared" si="52"/>
        <v>265967382</v>
      </c>
      <c r="F69" s="4296">
        <f t="shared" si="52"/>
        <v>267427490</v>
      </c>
      <c r="G69" s="4296">
        <f t="shared" si="52"/>
        <v>272324101</v>
      </c>
      <c r="H69" s="4296">
        <f t="shared" si="52"/>
        <v>269203118</v>
      </c>
      <c r="I69" s="4296">
        <f t="shared" si="52"/>
        <v>268916428</v>
      </c>
      <c r="J69" s="4296">
        <f t="shared" si="52"/>
        <v>272567260</v>
      </c>
      <c r="K69" s="4296">
        <f t="shared" si="52"/>
        <v>283487893</v>
      </c>
      <c r="L69" s="4296">
        <f t="shared" si="52"/>
        <v>272700130</v>
      </c>
      <c r="M69" s="4296">
        <f t="shared" si="52"/>
        <v>267481233</v>
      </c>
      <c r="N69" s="4296">
        <f t="shared" si="52"/>
        <v>256963177.5060263</v>
      </c>
      <c r="O69" s="4297">
        <f t="shared" si="52"/>
        <v>256963177.5060263</v>
      </c>
      <c r="P69" s="4308">
        <f t="shared" ref="P69:Q69" si="53">P61-P65</f>
        <v>263917440.63791502</v>
      </c>
      <c r="Q69" s="4308">
        <f t="shared" si="53"/>
        <v>263917440.63791502</v>
      </c>
    </row>
    <row r="70" spans="1:17">
      <c r="A70" s="4278" t="s">
        <v>853</v>
      </c>
      <c r="B70" s="4296">
        <f t="shared" si="52"/>
        <v>29565736</v>
      </c>
      <c r="C70" s="4296">
        <f t="shared" si="52"/>
        <v>32282813</v>
      </c>
      <c r="D70" s="4296">
        <f t="shared" si="52"/>
        <v>34211829</v>
      </c>
      <c r="E70" s="4296">
        <f t="shared" si="52"/>
        <v>34282796</v>
      </c>
      <c r="F70" s="4296">
        <f t="shared" si="52"/>
        <v>33883676</v>
      </c>
      <c r="G70" s="4296">
        <f t="shared" si="52"/>
        <v>34121774</v>
      </c>
      <c r="H70" s="4296">
        <f t="shared" si="52"/>
        <v>36744938</v>
      </c>
      <c r="I70" s="4296">
        <f t="shared" si="52"/>
        <v>44423874</v>
      </c>
      <c r="J70" s="4296">
        <f t="shared" si="52"/>
        <v>44805080</v>
      </c>
      <c r="K70" s="4296">
        <f t="shared" si="52"/>
        <v>47104859</v>
      </c>
      <c r="L70" s="4296">
        <f t="shared" si="52"/>
        <v>45508020</v>
      </c>
      <c r="M70" s="4296">
        <f t="shared" si="52"/>
        <v>53219464</v>
      </c>
      <c r="N70" s="4296">
        <f t="shared" si="52"/>
        <v>36109032</v>
      </c>
      <c r="O70" s="4297">
        <f t="shared" si="52"/>
        <v>29004103</v>
      </c>
      <c r="P70" s="4308">
        <f t="shared" ref="P70:Q70" si="54">P62-P66</f>
        <v>34437468.922283895</v>
      </c>
      <c r="Q70" s="4308">
        <f t="shared" si="54"/>
        <v>33892922.922283895</v>
      </c>
    </row>
    <row r="71" spans="1:17">
      <c r="A71" s="4278"/>
      <c r="B71" s="4270"/>
      <c r="C71" s="4270"/>
      <c r="D71" s="4270"/>
      <c r="E71" s="4270"/>
      <c r="F71" s="4270"/>
      <c r="G71" s="4270"/>
      <c r="H71" s="4270"/>
      <c r="I71" s="4270"/>
      <c r="J71" s="4270"/>
      <c r="K71" s="4270"/>
      <c r="O71" s="4298"/>
      <c r="P71" s="4309"/>
      <c r="Q71" s="4309"/>
    </row>
    <row r="72" spans="1:17">
      <c r="A72" s="4281" t="s">
        <v>854</v>
      </c>
      <c r="B72" s="4282">
        <f>B74/(B73+B74)</f>
        <v>9.7839900892723097E-2</v>
      </c>
      <c r="C72" s="4282">
        <f>C74/(C73+C74)</f>
        <v>9.5010191483107728E-2</v>
      </c>
      <c r="D72" s="4282">
        <f>D74/(D73+D74)</f>
        <v>0.10292870925004899</v>
      </c>
      <c r="E72" s="4282">
        <f>E74/(E73+E74)</f>
        <v>0.1011445111202801</v>
      </c>
      <c r="F72" s="4282">
        <f t="shared" ref="F72:O72" si="55">F74/(F73+F74)</f>
        <v>8.5897067188385856E-2</v>
      </c>
      <c r="G72" s="4282">
        <f t="shared" si="55"/>
        <v>6.8555626963517288E-2</v>
      </c>
      <c r="H72" s="4282">
        <f t="shared" si="55"/>
        <v>6.861233635022923E-2</v>
      </c>
      <c r="I72" s="4282">
        <f t="shared" si="55"/>
        <v>7.6644439113726107E-2</v>
      </c>
      <c r="J72" s="4282">
        <f t="shared" si="55"/>
        <v>8.3664259142241362E-2</v>
      </c>
      <c r="K72" s="4282">
        <f t="shared" si="55"/>
        <v>8.8559947063453465E-2</v>
      </c>
      <c r="L72" s="4282">
        <f t="shared" si="55"/>
        <v>9.5419110419397005E-2</v>
      </c>
      <c r="M72" s="4415">
        <f t="shared" si="55"/>
        <v>9.9376030114613503E-2</v>
      </c>
      <c r="N72" s="4282">
        <f t="shared" si="55"/>
        <v>9.3073626094077586E-2</v>
      </c>
      <c r="O72" s="4283">
        <f t="shared" si="55"/>
        <v>9.3418694545115491E-2</v>
      </c>
      <c r="P72" s="4303">
        <f t="shared" ref="P72:Q72" si="56">P74/(P73+P74)</f>
        <v>8.4857305061825331E-2</v>
      </c>
      <c r="Q72" s="4303">
        <f t="shared" si="56"/>
        <v>8.3544963251505525E-2</v>
      </c>
    </row>
    <row r="73" spans="1:17">
      <c r="A73" s="4278" t="s">
        <v>846</v>
      </c>
      <c r="B73" s="4296">
        <f t="shared" ref="B73:O74" si="57">B29+B32+B35+B38</f>
        <v>278409286</v>
      </c>
      <c r="C73" s="4296">
        <f t="shared" si="57"/>
        <v>288667497</v>
      </c>
      <c r="D73" s="4296">
        <f t="shared" si="57"/>
        <v>293221560</v>
      </c>
      <c r="E73" s="4296">
        <f t="shared" si="57"/>
        <v>299242067</v>
      </c>
      <c r="F73" s="4296">
        <f t="shared" si="57"/>
        <v>301791565</v>
      </c>
      <c r="G73" s="4296">
        <f t="shared" si="57"/>
        <v>311128026</v>
      </c>
      <c r="H73" s="4296">
        <f t="shared" si="57"/>
        <v>310482838</v>
      </c>
      <c r="I73" s="4296">
        <f t="shared" si="57"/>
        <v>314468268</v>
      </c>
      <c r="J73" s="4296">
        <f t="shared" si="57"/>
        <v>325308892</v>
      </c>
      <c r="K73" s="4296">
        <f t="shared" si="57"/>
        <v>340665970</v>
      </c>
      <c r="L73" s="4296">
        <f t="shared" si="57"/>
        <v>324308004</v>
      </c>
      <c r="M73" s="4296">
        <f t="shared" si="57"/>
        <v>317985979</v>
      </c>
      <c r="N73" s="4296">
        <f t="shared" si="57"/>
        <v>312324933.35728484</v>
      </c>
      <c r="O73" s="4297">
        <f t="shared" si="57"/>
        <v>312324933.35728484</v>
      </c>
      <c r="P73" s="4308">
        <f t="shared" ref="P73:Q73" si="58">P29+P32+P35+P38</f>
        <v>325108565.27494502</v>
      </c>
      <c r="Q73" s="4308">
        <f t="shared" si="58"/>
        <v>325108565.27494502</v>
      </c>
    </row>
    <row r="74" spans="1:17" ht="15" thickBot="1">
      <c r="A74" s="4288" t="s">
        <v>847</v>
      </c>
      <c r="B74" s="4299">
        <f t="shared" si="57"/>
        <v>30193684</v>
      </c>
      <c r="C74" s="4299">
        <f t="shared" si="57"/>
        <v>30305705</v>
      </c>
      <c r="D74" s="4299">
        <f t="shared" si="57"/>
        <v>33643833</v>
      </c>
      <c r="E74" s="4299">
        <f t="shared" si="57"/>
        <v>33672479</v>
      </c>
      <c r="F74" s="4299">
        <f t="shared" si="57"/>
        <v>28358962</v>
      </c>
      <c r="G74" s="4299">
        <f t="shared" si="57"/>
        <v>22899464</v>
      </c>
      <c r="H74" s="4299">
        <f t="shared" si="57"/>
        <v>22872273</v>
      </c>
      <c r="I74" s="4299">
        <f t="shared" si="57"/>
        <v>26102885</v>
      </c>
      <c r="J74" s="4299">
        <f t="shared" si="57"/>
        <v>29701698</v>
      </c>
      <c r="K74" s="4299">
        <f t="shared" si="57"/>
        <v>33100762</v>
      </c>
      <c r="L74" s="4299">
        <f t="shared" si="57"/>
        <v>34209413</v>
      </c>
      <c r="M74" s="4299">
        <f t="shared" si="57"/>
        <v>35086990</v>
      </c>
      <c r="N74" s="4299">
        <f t="shared" si="57"/>
        <v>32052452</v>
      </c>
      <c r="O74" s="4300">
        <f t="shared" si="57"/>
        <v>32183531</v>
      </c>
      <c r="P74" s="4310">
        <f t="shared" ref="P74:Q74" si="59">P30+P33+P36+P39</f>
        <v>30145939.922092855</v>
      </c>
      <c r="Q74" s="4310">
        <f t="shared" si="59"/>
        <v>29637223.922092855</v>
      </c>
    </row>
    <row r="76" spans="1:17">
      <c r="A76" s="4269" t="s">
        <v>855</v>
      </c>
    </row>
  </sheetData>
  <mergeCells count="1">
    <mergeCell ref="P2:Q2"/>
  </mergeCells>
  <pageMargins left="0.7" right="0.7" top="0.75" bottom="0.75" header="0.3" footer="0.3"/>
  <pageSetup paperSize="5" scale="62" fitToHeight="2" orientation="landscape" r:id="rId1"/>
  <headerFooter>
    <oddFooter>&amp;LHouse Ways and Means Cmte Amendment 1001 2-14-13&amp;R&amp;D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8"/>
  <sheetViews>
    <sheetView tabSelected="1" zoomScaleNormal="100" zoomScalePageLayoutView="80" workbookViewId="0">
      <selection activeCell="A3" sqref="A3"/>
    </sheetView>
  </sheetViews>
  <sheetFormatPr defaultColWidth="9.109375" defaultRowHeight="13.8"/>
  <cols>
    <col min="1" max="1" width="1.88671875" style="3265" customWidth="1"/>
    <col min="2" max="2" width="13.6640625" style="3261" bestFit="1" customWidth="1"/>
    <col min="3" max="3" width="14.88671875" style="3262" bestFit="1" customWidth="1"/>
    <col min="4" max="4" width="16.109375" style="3262" bestFit="1" customWidth="1"/>
    <col min="5" max="5" width="14.88671875" style="3262" bestFit="1" customWidth="1"/>
    <col min="6" max="6" width="13" style="3262" bestFit="1" customWidth="1"/>
    <col min="7" max="7" width="14.88671875" style="3262" bestFit="1" customWidth="1"/>
    <col min="8" max="8" width="12" style="3264" bestFit="1" customWidth="1"/>
    <col min="9" max="9" width="11.5546875" style="3295" bestFit="1" customWidth="1"/>
    <col min="10" max="10" width="2.6640625" style="3265" customWidth="1"/>
    <col min="11" max="11" width="13.6640625" style="3265" bestFit="1" customWidth="1"/>
    <col min="12" max="12" width="14.88671875" style="3265" bestFit="1" customWidth="1"/>
    <col min="13" max="13" width="16.109375" style="3265" bestFit="1" customWidth="1"/>
    <col min="14" max="14" width="17.33203125" style="3265" customWidth="1"/>
    <col min="15" max="15" width="13" style="3265" bestFit="1" customWidth="1"/>
    <col min="16" max="16" width="14.88671875" style="3265" bestFit="1" customWidth="1"/>
    <col min="17" max="17" width="12" style="3264" bestFit="1" customWidth="1"/>
    <col min="18" max="18" width="11.44140625" style="3295" bestFit="1" customWidth="1"/>
    <col min="19" max="19" width="2.88671875" style="3265" customWidth="1"/>
    <col min="20" max="20" width="12" style="3266" bestFit="1" customWidth="1"/>
    <col min="21" max="21" width="9.33203125" style="3267" customWidth="1"/>
    <col min="22" max="16384" width="9.109375" style="3265"/>
  </cols>
  <sheetData>
    <row r="1" spans="1:21" ht="15.6">
      <c r="A1" s="3299" t="s">
        <v>358</v>
      </c>
    </row>
    <row r="2" spans="1:21" ht="16.2" thickBot="1">
      <c r="A2" s="3299" t="s">
        <v>359</v>
      </c>
    </row>
    <row r="3" spans="1:21" ht="15.6">
      <c r="A3" s="4417" t="s">
        <v>970</v>
      </c>
      <c r="B3" s="3300"/>
      <c r="C3" s="3520"/>
      <c r="D3" s="3520"/>
      <c r="E3" s="3520"/>
      <c r="M3" s="4412">
        <v>-2.1999999999999999E-2</v>
      </c>
      <c r="N3" s="3516" t="s">
        <v>361</v>
      </c>
      <c r="O3" s="3517"/>
    </row>
    <row r="4" spans="1:21" ht="14.4" thickBot="1">
      <c r="D4" s="3265"/>
      <c r="M4" s="4413">
        <v>-2.1999999999999999E-2</v>
      </c>
      <c r="N4" s="3518" t="s">
        <v>362</v>
      </c>
      <c r="O4" s="3519"/>
    </row>
    <row r="5" spans="1:21" ht="14.4" thickBot="1">
      <c r="D5" s="3263"/>
      <c r="M5" s="3263"/>
    </row>
    <row r="6" spans="1:21" ht="16.2" thickBot="1">
      <c r="B6" s="4424" t="s">
        <v>356</v>
      </c>
      <c r="C6" s="4425"/>
      <c r="D6" s="4425"/>
      <c r="E6" s="4425"/>
      <c r="F6" s="4425"/>
      <c r="G6" s="4425"/>
      <c r="H6" s="4425"/>
      <c r="I6" s="4426"/>
      <c r="J6" s="3479"/>
      <c r="K6" s="4424" t="s">
        <v>357</v>
      </c>
      <c r="L6" s="4425"/>
      <c r="M6" s="4425"/>
      <c r="N6" s="4425"/>
      <c r="O6" s="4425"/>
      <c r="P6" s="4425"/>
      <c r="Q6" s="4425"/>
      <c r="R6" s="4426"/>
      <c r="S6" s="3479"/>
      <c r="T6" s="4422" t="s">
        <v>337</v>
      </c>
      <c r="U6" s="4423"/>
    </row>
    <row r="7" spans="1:21" ht="14.4" thickBot="1">
      <c r="B7" s="3268"/>
      <c r="C7" s="3269" t="s">
        <v>328</v>
      </c>
      <c r="D7" s="3269" t="s">
        <v>955</v>
      </c>
      <c r="E7" s="3269" t="s">
        <v>329</v>
      </c>
      <c r="F7" s="3269" t="s">
        <v>330</v>
      </c>
      <c r="G7" s="3269" t="s">
        <v>331</v>
      </c>
      <c r="H7" s="3270" t="s">
        <v>335</v>
      </c>
      <c r="I7" s="3861" t="s">
        <v>513</v>
      </c>
      <c r="J7" s="3479"/>
      <c r="K7" s="3292"/>
      <c r="L7" s="3293" t="s">
        <v>328</v>
      </c>
      <c r="M7" s="3293" t="s">
        <v>955</v>
      </c>
      <c r="N7" s="3293" t="s">
        <v>329</v>
      </c>
      <c r="O7" s="3293" t="s">
        <v>330</v>
      </c>
      <c r="P7" s="3293" t="s">
        <v>332</v>
      </c>
      <c r="Q7" s="3294" t="s">
        <v>335</v>
      </c>
      <c r="R7" s="3861" t="s">
        <v>478</v>
      </c>
      <c r="S7" s="3479"/>
      <c r="T7" s="3285" t="s">
        <v>338</v>
      </c>
      <c r="U7" s="3515" t="s">
        <v>339</v>
      </c>
    </row>
    <row r="8" spans="1:21">
      <c r="B8" s="3481" t="s">
        <v>263</v>
      </c>
      <c r="C8" s="3482">
        <v>180268458</v>
      </c>
      <c r="D8" s="3483">
        <f t="shared" ref="D8:D14" si="0">C8*$M$3</f>
        <v>-3965906.0759999999</v>
      </c>
      <c r="E8" s="3484">
        <f>C8+D8</f>
        <v>176302551.92399999</v>
      </c>
      <c r="F8" s="3484">
        <f>'Summary of PFF Metrics 2014'!Y9</f>
        <v>8492689.8091666643</v>
      </c>
      <c r="G8" s="3484">
        <f>E8+F8</f>
        <v>184795241.73316666</v>
      </c>
      <c r="H8" s="3483">
        <f>D8+F8</f>
        <v>4526783.7331666648</v>
      </c>
      <c r="I8" s="3296">
        <f t="shared" ref="I8:I16" si="1">(G8-C8)/C8</f>
        <v>2.5111346618201309E-2</v>
      </c>
      <c r="J8" s="3485"/>
      <c r="K8" s="3486" t="s">
        <v>263</v>
      </c>
      <c r="L8" s="3487">
        <v>180268458</v>
      </c>
      <c r="M8" s="3488">
        <f>L8*$M$4</f>
        <v>-3965906.0759999999</v>
      </c>
      <c r="N8" s="3489">
        <f>L8+M8</f>
        <v>176302551.92399999</v>
      </c>
      <c r="O8" s="3489">
        <f>'Summary of PFF Metrics 2015'!Y9</f>
        <v>8492689.8091666643</v>
      </c>
      <c r="P8" s="3489">
        <f>N8+O8</f>
        <v>184795241.73316666</v>
      </c>
      <c r="Q8" s="3488">
        <f>M8+O8</f>
        <v>4526783.7331666648</v>
      </c>
      <c r="R8" s="3276">
        <f>(P8-G8)/L8</f>
        <v>0</v>
      </c>
      <c r="S8" s="3485"/>
      <c r="T8" s="3275">
        <f>P8-C8</f>
        <v>4526783.7331666648</v>
      </c>
      <c r="U8" s="3276">
        <f>T8/C8</f>
        <v>2.5111346618201309E-2</v>
      </c>
    </row>
    <row r="9" spans="1:21">
      <c r="B9" s="3491" t="s">
        <v>265</v>
      </c>
      <c r="C9" s="3492">
        <v>8330920.9000000004</v>
      </c>
      <c r="D9" s="3493">
        <f t="shared" si="0"/>
        <v>-183280.2598</v>
      </c>
      <c r="E9" s="3492">
        <f t="shared" ref="E9:E15" si="2">C9+D9</f>
        <v>8147640.6402000003</v>
      </c>
      <c r="F9" s="3492">
        <f>'Summary of PFF Metrics 2014'!Y12</f>
        <v>841236.62670833338</v>
      </c>
      <c r="G9" s="3492">
        <f t="shared" ref="G9:G32" si="3">E9+F9</f>
        <v>8988877.2669083327</v>
      </c>
      <c r="H9" s="3488">
        <f>D9+F9</f>
        <v>657956.36690833338</v>
      </c>
      <c r="I9" s="3278">
        <f>(G9-C9)/C9</f>
        <v>7.897762742031704E-2</v>
      </c>
      <c r="J9" s="3485"/>
      <c r="K9" s="3491" t="s">
        <v>265</v>
      </c>
      <c r="L9" s="3492">
        <v>8330920.9000000004</v>
      </c>
      <c r="M9" s="3493">
        <f>L9*$M$4</f>
        <v>-183280.2598</v>
      </c>
      <c r="N9" s="3492">
        <f t="shared" ref="N9:N15" si="4">L9+M9</f>
        <v>8147640.6402000003</v>
      </c>
      <c r="O9" s="3492">
        <f>'Summary of PFF Metrics 2015'!Y12</f>
        <v>841236.62670833338</v>
      </c>
      <c r="P9" s="3492">
        <f t="shared" ref="P9:P14" si="5">N9+O9</f>
        <v>8988877.2669083327</v>
      </c>
      <c r="Q9" s="3493">
        <f t="shared" ref="Q9:Q15" si="6">M9+O9</f>
        <v>657956.36690833338</v>
      </c>
      <c r="R9" s="3278">
        <f t="shared" ref="R9:R16" si="7">(P9-G9)/L9</f>
        <v>0</v>
      </c>
      <c r="S9" s="3485"/>
      <c r="T9" s="3277">
        <f t="shared" ref="T9:T32" si="8">P9-C9</f>
        <v>657956.36690833233</v>
      </c>
      <c r="U9" s="3278">
        <f t="shared" ref="U9:U33" si="9">T9/C9</f>
        <v>7.897762742031704E-2</v>
      </c>
    </row>
    <row r="10" spans="1:21">
      <c r="B10" s="3491" t="s">
        <v>264</v>
      </c>
      <c r="C10" s="3492">
        <v>11354681.6</v>
      </c>
      <c r="D10" s="3493">
        <f t="shared" si="0"/>
        <v>-249802.99519999998</v>
      </c>
      <c r="E10" s="3492">
        <f t="shared" si="2"/>
        <v>11104878.604799999</v>
      </c>
      <c r="F10" s="3492">
        <f>'Summary of PFF Metrics 2014'!Y15</f>
        <v>960107.82944</v>
      </c>
      <c r="G10" s="3492">
        <f t="shared" si="3"/>
        <v>12064986.434239998</v>
      </c>
      <c r="H10" s="3493">
        <f t="shared" ref="H10:H15" si="10">D10+F10</f>
        <v>710304.83424</v>
      </c>
      <c r="I10" s="3278">
        <f t="shared" si="1"/>
        <v>6.2556120837417309E-2</v>
      </c>
      <c r="J10" s="3485"/>
      <c r="K10" s="3491" t="s">
        <v>264</v>
      </c>
      <c r="L10" s="3492">
        <v>11354681.6</v>
      </c>
      <c r="M10" s="3493">
        <f t="shared" ref="M10:M14" si="11">L10*$M$4</f>
        <v>-249802.99519999998</v>
      </c>
      <c r="N10" s="3492">
        <f t="shared" si="4"/>
        <v>11104878.604799999</v>
      </c>
      <c r="O10" s="3492">
        <f>'Summary of PFF Metrics 2015'!Y15</f>
        <v>960107.82944</v>
      </c>
      <c r="P10" s="3492">
        <f t="shared" si="5"/>
        <v>12064986.434239998</v>
      </c>
      <c r="Q10" s="3493">
        <f t="shared" si="6"/>
        <v>710304.83424</v>
      </c>
      <c r="R10" s="3278">
        <f t="shared" si="7"/>
        <v>0</v>
      </c>
      <c r="S10" s="3485"/>
      <c r="T10" s="3277">
        <f t="shared" si="8"/>
        <v>710304.83423999883</v>
      </c>
      <c r="U10" s="3278">
        <f t="shared" si="9"/>
        <v>6.2556120837417309E-2</v>
      </c>
    </row>
    <row r="11" spans="1:21">
      <c r="B11" s="3491" t="s">
        <v>266</v>
      </c>
      <c r="C11" s="3492">
        <v>16275368</v>
      </c>
      <c r="D11" s="3493">
        <f t="shared" si="0"/>
        <v>-358058.09599999996</v>
      </c>
      <c r="E11" s="3492">
        <f t="shared" si="2"/>
        <v>15917309.903999999</v>
      </c>
      <c r="F11" s="3492">
        <f>'Summary of PFF Metrics 2014'!Y18</f>
        <v>802926.89</v>
      </c>
      <c r="G11" s="3492">
        <f t="shared" si="3"/>
        <v>16720236.794</v>
      </c>
      <c r="H11" s="3493">
        <f t="shared" si="10"/>
        <v>444868.79400000005</v>
      </c>
      <c r="I11" s="3278">
        <f t="shared" si="1"/>
        <v>2.7333870054428246E-2</v>
      </c>
      <c r="J11" s="3485"/>
      <c r="K11" s="3491" t="s">
        <v>266</v>
      </c>
      <c r="L11" s="3492">
        <v>16275368</v>
      </c>
      <c r="M11" s="3493">
        <f t="shared" si="11"/>
        <v>-358058.09599999996</v>
      </c>
      <c r="N11" s="3492">
        <f t="shared" si="4"/>
        <v>15917309.903999999</v>
      </c>
      <c r="O11" s="3492">
        <f>'Summary of PFF Metrics 2015'!Y18</f>
        <v>802926.89</v>
      </c>
      <c r="P11" s="3492">
        <f t="shared" si="5"/>
        <v>16720236.794</v>
      </c>
      <c r="Q11" s="3493">
        <f t="shared" si="6"/>
        <v>444868.79400000005</v>
      </c>
      <c r="R11" s="3278">
        <f t="shared" si="7"/>
        <v>0</v>
      </c>
      <c r="S11" s="3485"/>
      <c r="T11" s="3277">
        <f t="shared" si="8"/>
        <v>444868.79399999976</v>
      </c>
      <c r="U11" s="3278">
        <f t="shared" si="9"/>
        <v>2.7333870054428246E-2</v>
      </c>
    </row>
    <row r="12" spans="1:21">
      <c r="B12" s="3491" t="s">
        <v>267</v>
      </c>
      <c r="C12" s="3492">
        <v>21756889.699999999</v>
      </c>
      <c r="D12" s="3493">
        <f t="shared" si="0"/>
        <v>-478651.57339999994</v>
      </c>
      <c r="E12" s="3492">
        <f t="shared" si="2"/>
        <v>21278238.126600001</v>
      </c>
      <c r="F12" s="3492">
        <f>'Summary of PFF Metrics 2014'!Y21</f>
        <v>976620.49000000022</v>
      </c>
      <c r="G12" s="3492">
        <f t="shared" si="3"/>
        <v>22254858.616599999</v>
      </c>
      <c r="H12" s="3493">
        <f t="shared" si="10"/>
        <v>497968.91660000029</v>
      </c>
      <c r="I12" s="3278">
        <f t="shared" si="1"/>
        <v>2.2887872460924417E-2</v>
      </c>
      <c r="J12" s="3485"/>
      <c r="K12" s="3491" t="s">
        <v>267</v>
      </c>
      <c r="L12" s="3492">
        <v>21756889.699999999</v>
      </c>
      <c r="M12" s="3493">
        <f t="shared" si="11"/>
        <v>-478651.57339999994</v>
      </c>
      <c r="N12" s="3492">
        <f t="shared" si="4"/>
        <v>21278238.126600001</v>
      </c>
      <c r="O12" s="3492">
        <f>'Summary of PFF Metrics 2015'!Y21</f>
        <v>976620.49000000022</v>
      </c>
      <c r="P12" s="3492">
        <f t="shared" si="5"/>
        <v>22254858.616599999</v>
      </c>
      <c r="Q12" s="3493">
        <f t="shared" si="6"/>
        <v>497968.91660000029</v>
      </c>
      <c r="R12" s="3278">
        <f t="shared" si="7"/>
        <v>0</v>
      </c>
      <c r="S12" s="3485"/>
      <c r="T12" s="3277">
        <f t="shared" si="8"/>
        <v>497968.91660000011</v>
      </c>
      <c r="U12" s="3278">
        <f t="shared" si="9"/>
        <v>2.2887872460924417E-2</v>
      </c>
    </row>
    <row r="13" spans="1:21">
      <c r="B13" s="3491" t="s">
        <v>268</v>
      </c>
      <c r="C13" s="3492">
        <v>18976858.5</v>
      </c>
      <c r="D13" s="3493">
        <f t="shared" si="0"/>
        <v>-417490.88699999999</v>
      </c>
      <c r="E13" s="3492">
        <f t="shared" si="2"/>
        <v>18559367.613000002</v>
      </c>
      <c r="F13" s="3492">
        <f>'Summary of PFF Metrics 2014'!Y24</f>
        <v>533872.17999999982</v>
      </c>
      <c r="G13" s="3492">
        <f t="shared" si="3"/>
        <v>19093239.793000001</v>
      </c>
      <c r="H13" s="3493">
        <f t="shared" si="10"/>
        <v>116381.29299999983</v>
      </c>
      <c r="I13" s="3278">
        <f t="shared" si="1"/>
        <v>6.1328008005119214E-3</v>
      </c>
      <c r="J13" s="3485"/>
      <c r="K13" s="3491" t="s">
        <v>268</v>
      </c>
      <c r="L13" s="3492">
        <v>18976858.5</v>
      </c>
      <c r="M13" s="3493">
        <f t="shared" si="11"/>
        <v>-417490.88699999999</v>
      </c>
      <c r="N13" s="3492">
        <f t="shared" si="4"/>
        <v>18559367.613000002</v>
      </c>
      <c r="O13" s="3492">
        <f>'Summary of PFF Metrics 2015'!Y24</f>
        <v>533872.17999999982</v>
      </c>
      <c r="P13" s="3492">
        <f t="shared" si="5"/>
        <v>19093239.793000001</v>
      </c>
      <c r="Q13" s="3493">
        <f t="shared" si="6"/>
        <v>116381.29299999983</v>
      </c>
      <c r="R13" s="3278">
        <f t="shared" si="7"/>
        <v>0</v>
      </c>
      <c r="S13" s="3485"/>
      <c r="T13" s="3277">
        <f t="shared" si="8"/>
        <v>116381.29300000146</v>
      </c>
      <c r="U13" s="3278">
        <f t="shared" si="9"/>
        <v>6.1328008005119214E-3</v>
      </c>
    </row>
    <row r="14" spans="1:21">
      <c r="B14" s="3491" t="s">
        <v>828</v>
      </c>
      <c r="C14" s="3492">
        <f>85628142.6+4475501</f>
        <v>90103643.599999994</v>
      </c>
      <c r="D14" s="3493">
        <f t="shared" si="0"/>
        <v>-1982280.1591999996</v>
      </c>
      <c r="E14" s="3492">
        <f t="shared" si="2"/>
        <v>88121363.440799996</v>
      </c>
      <c r="F14" s="3492">
        <f>'Summary of PFF Metrics 2014'!Y27</f>
        <v>7839612.1818333315</v>
      </c>
      <c r="G14" s="3492">
        <f t="shared" si="3"/>
        <v>95960975.622633323</v>
      </c>
      <c r="H14" s="3493">
        <f t="shared" si="10"/>
        <v>5857332.0226333318</v>
      </c>
      <c r="I14" s="3278">
        <f t="shared" si="1"/>
        <v>6.5006605600057332E-2</v>
      </c>
      <c r="J14" s="3485"/>
      <c r="K14" s="3491" t="s">
        <v>444</v>
      </c>
      <c r="L14" s="3492">
        <f>85628142.6+4475501</f>
        <v>90103643.599999994</v>
      </c>
      <c r="M14" s="3493">
        <f t="shared" si="11"/>
        <v>-1982280.1591999996</v>
      </c>
      <c r="N14" s="3492">
        <f t="shared" si="4"/>
        <v>88121363.440799996</v>
      </c>
      <c r="O14" s="3492">
        <f>'Summary of PFF Metrics 2015'!Y27</f>
        <v>7839612.1818333315</v>
      </c>
      <c r="P14" s="3492">
        <f t="shared" si="5"/>
        <v>95960975.622633323</v>
      </c>
      <c r="Q14" s="3493">
        <f t="shared" si="6"/>
        <v>5857332.0226333318</v>
      </c>
      <c r="R14" s="3278">
        <f t="shared" si="7"/>
        <v>0</v>
      </c>
      <c r="S14" s="3485"/>
      <c r="T14" s="3277">
        <f t="shared" si="8"/>
        <v>5857332.022633329</v>
      </c>
      <c r="U14" s="3278">
        <f t="shared" si="9"/>
        <v>6.5006605600057332E-2</v>
      </c>
    </row>
    <row r="15" spans="1:21" ht="14.4" thickBot="1">
      <c r="B15" s="3494" t="s">
        <v>943</v>
      </c>
      <c r="C15" s="3495">
        <f>110189722.7-4475501</f>
        <v>105714221.7</v>
      </c>
      <c r="D15" s="3495">
        <v>0</v>
      </c>
      <c r="E15" s="3495">
        <f t="shared" si="2"/>
        <v>105714221.7</v>
      </c>
      <c r="F15" s="3495">
        <f>C15*0.035</f>
        <v>3699997.7595000006</v>
      </c>
      <c r="G15" s="3495">
        <f>E15+F15+2</f>
        <v>109414221.4595</v>
      </c>
      <c r="H15" s="3496">
        <f t="shared" si="10"/>
        <v>3699997.7595000006</v>
      </c>
      <c r="I15" s="3280">
        <f t="shared" si="1"/>
        <v>3.5000018918930342E-2</v>
      </c>
      <c r="J15" s="3485"/>
      <c r="K15" s="3494" t="s">
        <v>445</v>
      </c>
      <c r="L15" s="3495">
        <f>110189722.7-4475501</f>
        <v>105714221.7</v>
      </c>
      <c r="M15" s="3495">
        <v>0</v>
      </c>
      <c r="N15" s="3495">
        <f t="shared" si="4"/>
        <v>105714221.7</v>
      </c>
      <c r="O15" s="3495">
        <f>L15*0.035</f>
        <v>3699997.7595000006</v>
      </c>
      <c r="P15" s="3495">
        <f>N15+O15+2</f>
        <v>109414221.4595</v>
      </c>
      <c r="Q15" s="3496">
        <f t="shared" si="6"/>
        <v>3699997.7595000006</v>
      </c>
      <c r="R15" s="3280">
        <f t="shared" si="7"/>
        <v>0</v>
      </c>
      <c r="S15" s="3485"/>
      <c r="T15" s="3279">
        <f t="shared" si="8"/>
        <v>3699999.7594999969</v>
      </c>
      <c r="U15" s="3280">
        <f t="shared" si="9"/>
        <v>3.5000018918930342E-2</v>
      </c>
    </row>
    <row r="16" spans="1:21" s="3261" customFormat="1" ht="14.4" thickTop="1">
      <c r="B16" s="3486" t="s">
        <v>269</v>
      </c>
      <c r="C16" s="3497">
        <f>SUM(C8:C15)</f>
        <v>452781041.99999994</v>
      </c>
      <c r="D16" s="3497">
        <f t="shared" ref="D16:H16" si="12">SUM(D8:D15)</f>
        <v>-7635470.0466</v>
      </c>
      <c r="E16" s="3497">
        <f t="shared" si="12"/>
        <v>445145571.95339996</v>
      </c>
      <c r="F16" s="3497">
        <f t="shared" si="12"/>
        <v>24147063.76664833</v>
      </c>
      <c r="G16" s="3497">
        <f t="shared" si="12"/>
        <v>469292637.72004831</v>
      </c>
      <c r="H16" s="3498">
        <f t="shared" si="12"/>
        <v>16511593.720048331</v>
      </c>
      <c r="I16" s="3297">
        <f t="shared" si="1"/>
        <v>3.6467065067729516E-2</v>
      </c>
      <c r="J16" s="3499"/>
      <c r="K16" s="3486" t="s">
        <v>269</v>
      </c>
      <c r="L16" s="3497">
        <f>SUM(L8:L15)</f>
        <v>452781041.99999994</v>
      </c>
      <c r="M16" s="3497">
        <f t="shared" ref="M16" si="13">SUM(M8:M15)</f>
        <v>-7635470.0466</v>
      </c>
      <c r="N16" s="3497">
        <f t="shared" ref="N16" si="14">SUM(N8:N15)</f>
        <v>445145571.95339996</v>
      </c>
      <c r="O16" s="3497">
        <f t="shared" ref="O16" si="15">SUM(O8:O15)</f>
        <v>24147063.76664833</v>
      </c>
      <c r="P16" s="3497">
        <f t="shared" ref="P16" si="16">SUM(P8:P15)</f>
        <v>469292637.72004831</v>
      </c>
      <c r="Q16" s="3498">
        <f t="shared" ref="Q16" si="17">SUM(Q8:Q15)</f>
        <v>16511593.720048331</v>
      </c>
      <c r="R16" s="3284">
        <f t="shared" si="7"/>
        <v>0</v>
      </c>
      <c r="S16" s="3499"/>
      <c r="T16" s="3282">
        <f>SUM(T8:T15)</f>
        <v>16511595.720048323</v>
      </c>
      <c r="U16" s="3283">
        <f>T16/C16</f>
        <v>3.6467065067729419E-2</v>
      </c>
    </row>
    <row r="17" spans="2:21">
      <c r="B17" s="3491"/>
      <c r="C17" s="3492"/>
      <c r="D17" s="3492"/>
      <c r="E17" s="3492"/>
      <c r="F17" s="3492"/>
      <c r="G17" s="3492"/>
      <c r="H17" s="3493"/>
      <c r="I17" s="3276"/>
      <c r="J17" s="3485"/>
      <c r="K17" s="3491"/>
      <c r="L17" s="3492"/>
      <c r="M17" s="3492"/>
      <c r="N17" s="3492"/>
      <c r="O17" s="3492"/>
      <c r="P17" s="3492"/>
      <c r="Q17" s="3493"/>
      <c r="R17" s="3278"/>
      <c r="S17" s="3485"/>
      <c r="T17" s="3277"/>
      <c r="U17" s="3278"/>
    </row>
    <row r="18" spans="2:21">
      <c r="B18" s="3491" t="s">
        <v>270</v>
      </c>
      <c r="C18" s="3492">
        <v>233843355.80000001</v>
      </c>
      <c r="D18" s="3493">
        <f>C18*$M$3</f>
        <v>-5144553.8276000004</v>
      </c>
      <c r="E18" s="3492">
        <f t="shared" ref="E18:E21" si="18">C18+D18</f>
        <v>228698801.97240001</v>
      </c>
      <c r="F18" s="3492">
        <f>'Summary of PFF Metrics 2014'!Y34</f>
        <v>16093446.205719998</v>
      </c>
      <c r="G18" s="3492">
        <f t="shared" si="3"/>
        <v>244792248.17812002</v>
      </c>
      <c r="H18" s="3493">
        <f t="shared" ref="H18:H21" si="19">D18+F18</f>
        <v>10948892.378119998</v>
      </c>
      <c r="I18" s="3278">
        <f>(G18-C18)/C18</f>
        <v>4.6821481588231656E-2</v>
      </c>
      <c r="J18" s="3485"/>
      <c r="K18" s="3491" t="s">
        <v>270</v>
      </c>
      <c r="L18" s="3492">
        <v>233843355.80000001</v>
      </c>
      <c r="M18" s="3493">
        <f t="shared" ref="M18:M21" si="20">L18*$M$4</f>
        <v>-5144553.8276000004</v>
      </c>
      <c r="N18" s="3492">
        <f t="shared" ref="N18:N21" si="21">L18+M18</f>
        <v>228698801.97240001</v>
      </c>
      <c r="O18" s="3492">
        <f>'Summary of PFF Metrics 2015'!Y34</f>
        <v>16093446.205719998</v>
      </c>
      <c r="P18" s="3492">
        <f t="shared" ref="P18:P21" si="22">N18+O18</f>
        <v>244792248.17812002</v>
      </c>
      <c r="Q18" s="3493">
        <f t="shared" ref="Q18:Q21" si="23">M18+O18</f>
        <v>10948892.378119998</v>
      </c>
      <c r="R18" s="3278">
        <f t="shared" ref="R18:R22" si="24">(P18-G18)/L18</f>
        <v>0</v>
      </c>
      <c r="S18" s="3485"/>
      <c r="T18" s="3277">
        <f t="shared" si="8"/>
        <v>10948892.378120005</v>
      </c>
      <c r="U18" s="3278">
        <f t="shared" si="9"/>
        <v>4.6821481588231656E-2</v>
      </c>
    </row>
    <row r="19" spans="2:21">
      <c r="B19" s="3491" t="s">
        <v>271</v>
      </c>
      <c r="C19" s="3492">
        <v>26844939.699999999</v>
      </c>
      <c r="D19" s="3493">
        <f>C19*$M$3</f>
        <v>-590588.67339999997</v>
      </c>
      <c r="E19" s="3492">
        <f t="shared" si="18"/>
        <v>26254351.0266</v>
      </c>
      <c r="F19" s="3492">
        <f>'Summary of PFF Metrics 2014'!Y37</f>
        <v>1589011.2218249997</v>
      </c>
      <c r="G19" s="3492">
        <f t="shared" si="3"/>
        <v>27843362.248424999</v>
      </c>
      <c r="H19" s="3493">
        <f t="shared" si="19"/>
        <v>998422.5484249997</v>
      </c>
      <c r="I19" s="3278">
        <f>(G19-C19)/C19</f>
        <v>3.7192206783947447E-2</v>
      </c>
      <c r="J19" s="3485"/>
      <c r="K19" s="3491" t="s">
        <v>271</v>
      </c>
      <c r="L19" s="3492">
        <v>26844939.699999999</v>
      </c>
      <c r="M19" s="3493">
        <f t="shared" si="20"/>
        <v>-590588.67339999997</v>
      </c>
      <c r="N19" s="3492">
        <f t="shared" si="21"/>
        <v>26254351.0266</v>
      </c>
      <c r="O19" s="3492">
        <f>'Summary of PFF Metrics 2015'!Y37</f>
        <v>1589011.2218249997</v>
      </c>
      <c r="P19" s="3492">
        <f t="shared" si="22"/>
        <v>27843362.248424999</v>
      </c>
      <c r="Q19" s="3493">
        <f t="shared" si="23"/>
        <v>998422.5484249997</v>
      </c>
      <c r="R19" s="3278">
        <f t="shared" si="24"/>
        <v>0</v>
      </c>
      <c r="S19" s="3485"/>
      <c r="T19" s="3277">
        <f t="shared" si="8"/>
        <v>998422.54842500016</v>
      </c>
      <c r="U19" s="3278">
        <f t="shared" si="9"/>
        <v>3.7192206783947447E-2</v>
      </c>
    </row>
    <row r="20" spans="2:21">
      <c r="B20" s="3491" t="s">
        <v>272</v>
      </c>
      <c r="C20" s="3492">
        <v>38563049.799999997</v>
      </c>
      <c r="D20" s="3493">
        <f>C20*$M$3</f>
        <v>-848387.09559999988</v>
      </c>
      <c r="E20" s="3492">
        <f t="shared" si="18"/>
        <v>37714662.704399996</v>
      </c>
      <c r="F20" s="3492">
        <f>'Summary of PFF Metrics 2014'!Y40</f>
        <v>1304303.4733333332</v>
      </c>
      <c r="G20" s="3492">
        <f t="shared" si="3"/>
        <v>39018966.177733332</v>
      </c>
      <c r="H20" s="3493">
        <f t="shared" si="19"/>
        <v>455916.37773333327</v>
      </c>
      <c r="I20" s="3278">
        <f>(G20-C20)/C20</f>
        <v>1.182262243515125E-2</v>
      </c>
      <c r="J20" s="3485"/>
      <c r="K20" s="3491" t="s">
        <v>272</v>
      </c>
      <c r="L20" s="3492">
        <v>38563049.799999997</v>
      </c>
      <c r="M20" s="3493">
        <f t="shared" si="20"/>
        <v>-848387.09559999988</v>
      </c>
      <c r="N20" s="3492">
        <f t="shared" si="21"/>
        <v>37714662.704399996</v>
      </c>
      <c r="O20" s="3492">
        <f>'Summary of PFF Metrics 2015'!Y40</f>
        <v>1304303.4733333332</v>
      </c>
      <c r="P20" s="3492">
        <f t="shared" si="22"/>
        <v>39018966.177733332</v>
      </c>
      <c r="Q20" s="3493">
        <f t="shared" si="23"/>
        <v>455916.37773333327</v>
      </c>
      <c r="R20" s="3278">
        <f t="shared" si="24"/>
        <v>0</v>
      </c>
      <c r="S20" s="3485"/>
      <c r="T20" s="3277">
        <f t="shared" si="8"/>
        <v>455916.3777333349</v>
      </c>
      <c r="U20" s="3278">
        <f t="shared" si="9"/>
        <v>1.182262243515125E-2</v>
      </c>
    </row>
    <row r="21" spans="2:21" ht="14.4" thickBot="1">
      <c r="B21" s="3494" t="s">
        <v>273</v>
      </c>
      <c r="C21" s="3495">
        <v>13073588</v>
      </c>
      <c r="D21" s="3496">
        <f>C21*$M$3</f>
        <v>-287618.93599999999</v>
      </c>
      <c r="E21" s="3495">
        <f t="shared" si="18"/>
        <v>12785969.063999999</v>
      </c>
      <c r="F21" s="3495">
        <f>'Summary of PFF Metrics 2014'!Y43</f>
        <v>668019.60666666669</v>
      </c>
      <c r="G21" s="3495">
        <f t="shared" si="3"/>
        <v>13453988.670666667</v>
      </c>
      <c r="H21" s="3496">
        <f t="shared" si="19"/>
        <v>380400.6706666667</v>
      </c>
      <c r="I21" s="3280">
        <f>(G21-C21)/C21</f>
        <v>2.9096883783293975E-2</v>
      </c>
      <c r="J21" s="3485"/>
      <c r="K21" s="3494" t="s">
        <v>273</v>
      </c>
      <c r="L21" s="3495">
        <v>13073588</v>
      </c>
      <c r="M21" s="3496">
        <f t="shared" si="20"/>
        <v>-287618.93599999999</v>
      </c>
      <c r="N21" s="3495">
        <f t="shared" si="21"/>
        <v>12785969.063999999</v>
      </c>
      <c r="O21" s="3495">
        <f>'Summary of PFF Metrics 2015'!Y43</f>
        <v>668019.60666666669</v>
      </c>
      <c r="P21" s="3495">
        <f t="shared" si="22"/>
        <v>13453988.670666667</v>
      </c>
      <c r="Q21" s="3496">
        <f t="shared" si="23"/>
        <v>380400.6706666667</v>
      </c>
      <c r="R21" s="3280">
        <f t="shared" si="24"/>
        <v>0</v>
      </c>
      <c r="S21" s="3485"/>
      <c r="T21" s="3279">
        <f t="shared" si="8"/>
        <v>380400.6706666667</v>
      </c>
      <c r="U21" s="3280">
        <f t="shared" si="9"/>
        <v>2.9096883783293975E-2</v>
      </c>
    </row>
    <row r="22" spans="2:21" s="3261" customFormat="1" ht="14.4" thickTop="1">
      <c r="B22" s="3486" t="s">
        <v>274</v>
      </c>
      <c r="C22" s="3497">
        <f>SUM(C18:C21)</f>
        <v>312324933.30000001</v>
      </c>
      <c r="D22" s="3498">
        <f t="shared" ref="D22:H22" si="25">SUM(D18:D21)</f>
        <v>-6871148.5325999996</v>
      </c>
      <c r="E22" s="3497">
        <f t="shared" si="25"/>
        <v>305453784.76740003</v>
      </c>
      <c r="F22" s="3497">
        <f t="shared" si="25"/>
        <v>19654780.507544994</v>
      </c>
      <c r="G22" s="3497">
        <f t="shared" si="25"/>
        <v>325108565.27494502</v>
      </c>
      <c r="H22" s="3498">
        <f t="shared" si="25"/>
        <v>12783631.974944998</v>
      </c>
      <c r="I22" s="3284">
        <f>(G22-C22)/C22</f>
        <v>4.0930552165253625E-2</v>
      </c>
      <c r="J22" s="3499"/>
      <c r="K22" s="3486" t="s">
        <v>274</v>
      </c>
      <c r="L22" s="3497">
        <f t="shared" ref="L22:Q22" si="26">SUM(L18:L21)</f>
        <v>312324933.30000001</v>
      </c>
      <c r="M22" s="3498">
        <f t="shared" si="26"/>
        <v>-6871148.5325999996</v>
      </c>
      <c r="N22" s="3497">
        <f t="shared" si="26"/>
        <v>305453784.76740003</v>
      </c>
      <c r="O22" s="3497">
        <f t="shared" si="26"/>
        <v>19654780.507544994</v>
      </c>
      <c r="P22" s="3497">
        <f t="shared" si="26"/>
        <v>325108565.27494502</v>
      </c>
      <c r="Q22" s="3498">
        <f t="shared" si="26"/>
        <v>12783631.974944998</v>
      </c>
      <c r="R22" s="3284">
        <f t="shared" si="24"/>
        <v>0</v>
      </c>
      <c r="S22" s="3499"/>
      <c r="T22" s="3282">
        <f>SUM(T18:T21)</f>
        <v>12783631.974945007</v>
      </c>
      <c r="U22" s="3284">
        <f>T22/C22</f>
        <v>4.0930552165253618E-2</v>
      </c>
    </row>
    <row r="23" spans="2:21">
      <c r="B23" s="3491"/>
      <c r="C23" s="3492"/>
      <c r="D23" s="3492"/>
      <c r="E23" s="3492"/>
      <c r="F23" s="3492"/>
      <c r="G23" s="3492"/>
      <c r="H23" s="3493"/>
      <c r="I23" s="3278"/>
      <c r="J23" s="3485"/>
      <c r="K23" s="3491"/>
      <c r="L23" s="3492"/>
      <c r="M23" s="3492"/>
      <c r="N23" s="3492"/>
      <c r="O23" s="3492"/>
      <c r="P23" s="3492"/>
      <c r="Q23" s="3493"/>
      <c r="R23" s="3278"/>
      <c r="S23" s="3485"/>
      <c r="T23" s="3277"/>
      <c r="U23" s="3278"/>
    </row>
    <row r="24" spans="2:21">
      <c r="B24" s="3491" t="s">
        <v>275</v>
      </c>
      <c r="C24" s="3492">
        <v>67650483</v>
      </c>
      <c r="D24" s="3493">
        <f>C24*$M$3</f>
        <v>-1488310.6259999999</v>
      </c>
      <c r="E24" s="3492">
        <f>C24+D24</f>
        <v>66162172.373999998</v>
      </c>
      <c r="F24" s="3492">
        <f>'Summary of PFF Metrics 2014'!Y50</f>
        <v>1146058.556783333</v>
      </c>
      <c r="G24" s="3492">
        <f t="shared" si="3"/>
        <v>67308230.930783331</v>
      </c>
      <c r="H24" s="3493">
        <f>D24+F24</f>
        <v>-342252.06921666698</v>
      </c>
      <c r="I24" s="3278">
        <f>(G24-C24)/C24</f>
        <v>-5.0591223305333768E-3</v>
      </c>
      <c r="J24" s="3485"/>
      <c r="K24" s="3491" t="s">
        <v>275</v>
      </c>
      <c r="L24" s="3492">
        <v>67650483</v>
      </c>
      <c r="M24" s="3493">
        <f>L24*$M$4</f>
        <v>-1488310.6259999999</v>
      </c>
      <c r="N24" s="3492">
        <f>L24+M24</f>
        <v>66162172.373999998</v>
      </c>
      <c r="O24" s="3492">
        <f>'Summary of PFF Metrics 2015'!Y50</f>
        <v>1146058.556783333</v>
      </c>
      <c r="P24" s="3492">
        <f t="shared" ref="P24" si="27">N24+O24</f>
        <v>67308230.930783331</v>
      </c>
      <c r="Q24" s="3493">
        <f>M24+O24</f>
        <v>-342252.06921666698</v>
      </c>
      <c r="R24" s="3278">
        <f>(P24-G24)/L24</f>
        <v>0</v>
      </c>
      <c r="S24" s="3485"/>
      <c r="T24" s="3277">
        <f t="shared" si="8"/>
        <v>-342252.06921666861</v>
      </c>
      <c r="U24" s="3278">
        <f t="shared" si="9"/>
        <v>-5.0591223305333768E-3</v>
      </c>
    </row>
    <row r="25" spans="2:21">
      <c r="B25" s="3491"/>
      <c r="C25" s="3492"/>
      <c r="D25" s="3492"/>
      <c r="E25" s="3492"/>
      <c r="F25" s="3492"/>
      <c r="G25" s="3492"/>
      <c r="H25" s="3493"/>
      <c r="I25" s="3278"/>
      <c r="J25" s="3485"/>
      <c r="K25" s="3491"/>
      <c r="L25" s="3492"/>
      <c r="M25" s="3492"/>
      <c r="N25" s="3492"/>
      <c r="O25" s="3492"/>
      <c r="P25" s="3492"/>
      <c r="Q25" s="3493"/>
      <c r="R25" s="3278"/>
      <c r="S25" s="3485"/>
      <c r="T25" s="3277"/>
      <c r="U25" s="3278"/>
    </row>
    <row r="26" spans="2:21">
      <c r="B26" s="3491" t="s">
        <v>276</v>
      </c>
      <c r="C26" s="3492">
        <v>118723016</v>
      </c>
      <c r="D26" s="3493">
        <f>C26*$M$3</f>
        <v>-2611906.352</v>
      </c>
      <c r="E26" s="3492">
        <f>C26+D26</f>
        <v>116111109.648</v>
      </c>
      <c r="F26" s="3492">
        <f>'Summary of PFF Metrics 2014'!Y54</f>
        <v>1862065.0069166671</v>
      </c>
      <c r="G26" s="3492">
        <f t="shared" si="3"/>
        <v>117973174.65491667</v>
      </c>
      <c r="H26" s="3493">
        <f>D26+F26</f>
        <v>-749841.34508333285</v>
      </c>
      <c r="I26" s="3278">
        <f>(G26-C26)/C26</f>
        <v>-6.315888614919672E-3</v>
      </c>
      <c r="J26" s="3485"/>
      <c r="K26" s="3491" t="s">
        <v>276</v>
      </c>
      <c r="L26" s="3492">
        <v>118723016</v>
      </c>
      <c r="M26" s="3493">
        <f>L26*$M$4</f>
        <v>-2611906.352</v>
      </c>
      <c r="N26" s="3492">
        <f>L26+M26</f>
        <v>116111109.648</v>
      </c>
      <c r="O26" s="3492">
        <f>'Summary of PFF Metrics 2015'!Y54</f>
        <v>1862065.0069166671</v>
      </c>
      <c r="P26" s="3492">
        <f t="shared" ref="P26" si="28">N26+O26</f>
        <v>117973174.65491667</v>
      </c>
      <c r="Q26" s="3493">
        <f>M26+O26</f>
        <v>-749841.34508333285</v>
      </c>
      <c r="R26" s="3278">
        <f>(P26-G26)/L26</f>
        <v>0</v>
      </c>
      <c r="S26" s="3485"/>
      <c r="T26" s="3277">
        <f>P26-C26</f>
        <v>-749841.3450833261</v>
      </c>
      <c r="U26" s="3278">
        <f t="shared" si="9"/>
        <v>-6.315888614919672E-3</v>
      </c>
    </row>
    <row r="27" spans="2:21">
      <c r="B27" s="3491"/>
      <c r="C27" s="3492"/>
      <c r="D27" s="3492"/>
      <c r="E27" s="3492"/>
      <c r="F27" s="3492"/>
      <c r="G27" s="3492"/>
      <c r="H27" s="3493"/>
      <c r="I27" s="3278"/>
      <c r="J27" s="3485"/>
      <c r="K27" s="3491"/>
      <c r="L27" s="3492"/>
      <c r="M27" s="3492"/>
      <c r="N27" s="3492"/>
      <c r="O27" s="3492"/>
      <c r="P27" s="3492"/>
      <c r="Q27" s="3493"/>
      <c r="R27" s="3278"/>
      <c r="S27" s="3485"/>
      <c r="T27" s="3277"/>
      <c r="U27" s="3278"/>
    </row>
    <row r="28" spans="2:21">
      <c r="B28" s="3491" t="s">
        <v>277</v>
      </c>
      <c r="C28" s="3492">
        <v>40109493</v>
      </c>
      <c r="D28" s="3493">
        <f>C28*$M$3</f>
        <v>-882408.8459999999</v>
      </c>
      <c r="E28" s="3492">
        <f>C28+D28</f>
        <v>39227084.153999999</v>
      </c>
      <c r="F28" s="3492">
        <f>'Summary of PFF Metrics 2014'!Y58</f>
        <v>2919769.8036666675</v>
      </c>
      <c r="G28" s="3492">
        <f t="shared" si="3"/>
        <v>42146853.957666665</v>
      </c>
      <c r="H28" s="3493">
        <f>D28+F28</f>
        <v>2037360.9576666676</v>
      </c>
      <c r="I28" s="3278">
        <f>(G28-C28)/C28</f>
        <v>5.0794981568743972E-2</v>
      </c>
      <c r="J28" s="3485"/>
      <c r="K28" s="3491" t="s">
        <v>277</v>
      </c>
      <c r="L28" s="3492">
        <v>40109493</v>
      </c>
      <c r="M28" s="3493">
        <f>L28*$M$4</f>
        <v>-882408.8459999999</v>
      </c>
      <c r="N28" s="3492">
        <f>L28+M28</f>
        <v>39227084.153999999</v>
      </c>
      <c r="O28" s="3492">
        <f>'Summary of PFF Metrics 2015'!Y58</f>
        <v>2919769.8036666675</v>
      </c>
      <c r="P28" s="3492">
        <f t="shared" ref="P28" si="29">N28+O28</f>
        <v>42146853.957666665</v>
      </c>
      <c r="Q28" s="3493">
        <f>M28+O28</f>
        <v>2037360.9576666676</v>
      </c>
      <c r="R28" s="3278">
        <f>(P28-G28)/L28</f>
        <v>0</v>
      </c>
      <c r="S28" s="3485"/>
      <c r="T28" s="3277">
        <f t="shared" si="8"/>
        <v>2037360.9576666653</v>
      </c>
      <c r="U28" s="3278">
        <f t="shared" si="9"/>
        <v>5.0794981568743972E-2</v>
      </c>
    </row>
    <row r="29" spans="2:21">
      <c r="B29" s="3491"/>
      <c r="C29" s="3492"/>
      <c r="D29" s="3492"/>
      <c r="E29" s="3492"/>
      <c r="F29" s="3492"/>
      <c r="G29" s="3492"/>
      <c r="H29" s="3493"/>
      <c r="I29" s="3278"/>
      <c r="J29" s="3485"/>
      <c r="K29" s="3491"/>
      <c r="L29" s="3492"/>
      <c r="M29" s="3492"/>
      <c r="N29" s="3492"/>
      <c r="O29" s="3492"/>
      <c r="P29" s="3492"/>
      <c r="Q29" s="3493"/>
      <c r="R29" s="3278"/>
      <c r="S29" s="3485"/>
      <c r="T29" s="3277"/>
      <c r="U29" s="3278"/>
    </row>
    <row r="30" spans="2:21">
      <c r="B30" s="3491" t="s">
        <v>279</v>
      </c>
      <c r="C30" s="3492">
        <v>186417941</v>
      </c>
      <c r="D30" s="3493">
        <f>C30*$M$3</f>
        <v>-4101194.7019999996</v>
      </c>
      <c r="E30" s="3492">
        <f>C30+D30</f>
        <v>182316746.29800001</v>
      </c>
      <c r="F30" s="3492">
        <f>'Summary of PFF Metrics 2014'!Y62</f>
        <v>17997944.268499997</v>
      </c>
      <c r="G30" s="3492">
        <f t="shared" si="3"/>
        <v>200314690.56650001</v>
      </c>
      <c r="H30" s="3493">
        <f>D30+F30</f>
        <v>13896749.566499997</v>
      </c>
      <c r="I30" s="3278">
        <f>(G30-C30)/C30</f>
        <v>7.4546202430698497E-2</v>
      </c>
      <c r="J30" s="3485"/>
      <c r="K30" s="3491" t="s">
        <v>279</v>
      </c>
      <c r="L30" s="3492">
        <v>186417941</v>
      </c>
      <c r="M30" s="3493">
        <f>L30*$M$4</f>
        <v>-4101194.7019999996</v>
      </c>
      <c r="N30" s="3492">
        <f>L30+M30</f>
        <v>182316746.29800001</v>
      </c>
      <c r="O30" s="3492">
        <f>'Summary of PFF Metrics 2015'!Y62</f>
        <v>17997944.268499997</v>
      </c>
      <c r="P30" s="3492">
        <f t="shared" ref="P30" si="30">N30+O30</f>
        <v>200314690.56650001</v>
      </c>
      <c r="Q30" s="3493">
        <f>M30+O30</f>
        <v>13896749.566499997</v>
      </c>
      <c r="R30" s="3278">
        <f>(P30-G30)/L30</f>
        <v>0</v>
      </c>
      <c r="S30" s="3485"/>
      <c r="T30" s="3277">
        <f t="shared" si="8"/>
        <v>13896749.566500008</v>
      </c>
      <c r="U30" s="3278">
        <f t="shared" si="9"/>
        <v>7.4546202430698497E-2</v>
      </c>
    </row>
    <row r="31" spans="2:21">
      <c r="B31" s="3491"/>
      <c r="C31" s="3492"/>
      <c r="D31" s="3492"/>
      <c r="E31" s="3492"/>
      <c r="F31" s="3492"/>
      <c r="G31" s="3492"/>
      <c r="H31" s="3493"/>
      <c r="I31" s="3278"/>
      <c r="J31" s="3485"/>
      <c r="K31" s="3491"/>
      <c r="L31" s="3492"/>
      <c r="M31" s="3492"/>
      <c r="N31" s="3492"/>
      <c r="O31" s="3492"/>
      <c r="P31" s="3492"/>
      <c r="Q31" s="3493"/>
      <c r="R31" s="3278"/>
      <c r="S31" s="3485"/>
      <c r="T31" s="3277"/>
      <c r="U31" s="3278"/>
    </row>
    <row r="32" spans="2:21" ht="14.4" thickBot="1">
      <c r="B32" s="3494" t="s">
        <v>278</v>
      </c>
      <c r="C32" s="3495">
        <v>37302378</v>
      </c>
      <c r="D32" s="3496">
        <f>C32*$M$3</f>
        <v>-820652.31599999999</v>
      </c>
      <c r="E32" s="3495">
        <f>C32+D32</f>
        <v>36481725.684</v>
      </c>
      <c r="F32" s="3495">
        <f>'Summary of PFF Metrics 2014'!Y66</f>
        <v>2544454.8055913695</v>
      </c>
      <c r="G32" s="3495">
        <f t="shared" si="3"/>
        <v>39026180.489591368</v>
      </c>
      <c r="H32" s="3496">
        <f>D32+F32</f>
        <v>1723802.4895913694</v>
      </c>
      <c r="I32" s="3280">
        <f>(G32-C32)/C32</f>
        <v>4.6211597812647963E-2</v>
      </c>
      <c r="J32" s="3485"/>
      <c r="K32" s="3494" t="s">
        <v>278</v>
      </c>
      <c r="L32" s="3495">
        <v>37302378</v>
      </c>
      <c r="M32" s="3496">
        <f>L32*$M$4</f>
        <v>-820652.31599999999</v>
      </c>
      <c r="N32" s="3495">
        <f>L32+M32</f>
        <v>36481725.684</v>
      </c>
      <c r="O32" s="3495">
        <f>'Summary of PFF Metrics 2015'!Y66</f>
        <v>2544454.8055913695</v>
      </c>
      <c r="P32" s="3495">
        <f t="shared" ref="P32" si="31">N32+O32</f>
        <v>39026180.489591368</v>
      </c>
      <c r="Q32" s="3496">
        <f>M32+O32</f>
        <v>1723802.4895913694</v>
      </c>
      <c r="R32" s="3280">
        <f>(P32-G32)/L32</f>
        <v>0</v>
      </c>
      <c r="S32" s="3485"/>
      <c r="T32" s="3279">
        <f t="shared" si="8"/>
        <v>1723802.4895913675</v>
      </c>
      <c r="U32" s="3280">
        <f t="shared" si="9"/>
        <v>4.6211597812647963E-2</v>
      </c>
    </row>
    <row r="33" spans="1:21" s="3261" customFormat="1" ht="15" thickTop="1" thickBot="1">
      <c r="B33" s="3500"/>
      <c r="C33" s="3501">
        <f t="shared" ref="C33:H33" si="32">C16+C22+C24+C26+C28+C30+C32</f>
        <v>1215309286.3</v>
      </c>
      <c r="D33" s="3502">
        <f t="shared" si="32"/>
        <v>-24411091.4212</v>
      </c>
      <c r="E33" s="3501">
        <f t="shared" si="32"/>
        <v>1190898194.8787999</v>
      </c>
      <c r="F33" s="3501">
        <f t="shared" si="32"/>
        <v>70272136.715651363</v>
      </c>
      <c r="G33" s="3501">
        <f t="shared" si="32"/>
        <v>1261170333.5944514</v>
      </c>
      <c r="H33" s="3502">
        <f t="shared" si="32"/>
        <v>45861045.294451363</v>
      </c>
      <c r="I33" s="3298">
        <f>(G33-C33)/C33</f>
        <v>3.7736111960499447E-2</v>
      </c>
      <c r="J33" s="3503"/>
      <c r="K33" s="3504"/>
      <c r="L33" s="3505">
        <f t="shared" ref="L33:Q33" si="33">L16+L22+L24+L26+L28+L30+L32</f>
        <v>1215309286.3</v>
      </c>
      <c r="M33" s="3502">
        <f t="shared" si="33"/>
        <v>-24411091.4212</v>
      </c>
      <c r="N33" s="3505">
        <f t="shared" si="33"/>
        <v>1190898194.8787999</v>
      </c>
      <c r="O33" s="3505">
        <f t="shared" si="33"/>
        <v>70272136.715651363</v>
      </c>
      <c r="P33" s="3505">
        <f t="shared" si="33"/>
        <v>1261170333.5944514</v>
      </c>
      <c r="Q33" s="3506">
        <f t="shared" si="33"/>
        <v>45861045.294451363</v>
      </c>
      <c r="R33" s="3286">
        <f>(P33-G33)/L33</f>
        <v>0</v>
      </c>
      <c r="S33" s="3503"/>
      <c r="T33" s="3285">
        <f>T16+T22+T24+T26+T28+T30+T32</f>
        <v>45861047.294451378</v>
      </c>
      <c r="U33" s="3286">
        <f t="shared" si="9"/>
        <v>3.773611196049937E-2</v>
      </c>
    </row>
    <row r="34" spans="1:21" ht="14.4" thickBot="1">
      <c r="B34" s="3525"/>
      <c r="C34" s="3526"/>
      <c r="D34" s="3527"/>
      <c r="E34" s="3528"/>
      <c r="F34" s="3528"/>
      <c r="G34" s="3526"/>
      <c r="H34" s="3529"/>
      <c r="I34" s="3490"/>
      <c r="J34" s="3485"/>
      <c r="K34" s="3530"/>
      <c r="L34" s="3485"/>
      <c r="M34" s="3485"/>
      <c r="N34" s="3528"/>
      <c r="O34" s="3528"/>
      <c r="P34" s="3485"/>
      <c r="Q34" s="3528"/>
      <c r="R34" s="3490"/>
      <c r="S34" s="3485"/>
      <c r="T34" s="3531"/>
      <c r="U34" s="3532"/>
    </row>
    <row r="35" spans="1:21" ht="27.6">
      <c r="B35" s="3507" t="s">
        <v>360</v>
      </c>
      <c r="C35" s="3483">
        <f>C8+C14+C26+C18</f>
        <v>622938473.4000001</v>
      </c>
      <c r="D35" s="3483">
        <f t="shared" ref="D35:H35" si="34">D8+D14+D26+D18</f>
        <v>-13704646.414799999</v>
      </c>
      <c r="E35" s="3483">
        <f t="shared" si="34"/>
        <v>609233826.98519993</v>
      </c>
      <c r="F35" s="3483">
        <f t="shared" si="34"/>
        <v>34287813.203636661</v>
      </c>
      <c r="G35" s="3483">
        <f t="shared" si="34"/>
        <v>643521640.18883669</v>
      </c>
      <c r="H35" s="3483">
        <f t="shared" si="34"/>
        <v>20583166.788836662</v>
      </c>
      <c r="I35" s="3296">
        <f>H35/C35</f>
        <v>3.3042054179915514E-2</v>
      </c>
      <c r="J35" s="3508"/>
      <c r="K35" s="3507" t="s">
        <v>354</v>
      </c>
      <c r="L35" s="3483">
        <f>L8+L14+L26+L18</f>
        <v>622938473.4000001</v>
      </c>
      <c r="M35" s="3483">
        <f t="shared" ref="M35:Q35" si="35">M8+M14+M26+M18</f>
        <v>-13704646.414799999</v>
      </c>
      <c r="N35" s="3483">
        <f t="shared" si="35"/>
        <v>609233826.98519993</v>
      </c>
      <c r="O35" s="3483">
        <f t="shared" si="35"/>
        <v>34287813.203636661</v>
      </c>
      <c r="P35" s="3483">
        <f t="shared" si="35"/>
        <v>643521640.18883669</v>
      </c>
      <c r="Q35" s="3483">
        <f t="shared" si="35"/>
        <v>20583166.788836662</v>
      </c>
      <c r="R35" s="3296">
        <f>(P35-G35)/L35</f>
        <v>0</v>
      </c>
      <c r="S35" s="3508"/>
      <c r="T35" s="3509">
        <f>P35-C35</f>
        <v>20583166.788836598</v>
      </c>
      <c r="U35" s="3296">
        <f>T35/C35</f>
        <v>3.304205417991541E-2</v>
      </c>
    </row>
    <row r="36" spans="1:21" ht="41.4">
      <c r="B36" s="3510" t="s">
        <v>355</v>
      </c>
      <c r="C36" s="3493">
        <f>C9+C10+C11+C12+C13+C19+C20+C21+C24+C28</f>
        <v>262936272.19999999</v>
      </c>
      <c r="D36" s="3493">
        <f t="shared" ref="D36:H36" si="36">D9+D10+D11+D12+D13+D19+D20+D21+D24+D28</f>
        <v>-5784597.9883999992</v>
      </c>
      <c r="E36" s="3493">
        <f t="shared" si="36"/>
        <v>257151674.21160001</v>
      </c>
      <c r="F36" s="3493">
        <f t="shared" si="36"/>
        <v>11741926.678423334</v>
      </c>
      <c r="G36" s="3493">
        <f t="shared" si="36"/>
        <v>268893600.89002335</v>
      </c>
      <c r="H36" s="3493">
        <f t="shared" si="36"/>
        <v>5957328.6900233347</v>
      </c>
      <c r="I36" s="3278">
        <f t="shared" ref="I36" si="37">H36/C36</f>
        <v>2.2656929909966737E-2</v>
      </c>
      <c r="J36" s="3485"/>
      <c r="K36" s="3510" t="s">
        <v>355</v>
      </c>
      <c r="L36" s="3493">
        <f>L9+L10+L11+L12+L13+L19+L20+L21+L24+L28</f>
        <v>262936272.19999999</v>
      </c>
      <c r="M36" s="3493">
        <f t="shared" ref="M36:Q36" si="38">M9+M10+M11+M12+M13+M19+M20+M21+M24+M28</f>
        <v>-5784597.9883999992</v>
      </c>
      <c r="N36" s="3493">
        <f t="shared" si="38"/>
        <v>257151674.21160001</v>
      </c>
      <c r="O36" s="3493">
        <f t="shared" si="38"/>
        <v>11741926.678423334</v>
      </c>
      <c r="P36" s="3493">
        <f t="shared" si="38"/>
        <v>268893600.89002335</v>
      </c>
      <c r="Q36" s="3493">
        <f t="shared" si="38"/>
        <v>5957328.6900233347</v>
      </c>
      <c r="R36" s="3278">
        <f>(P36-G36)/L36</f>
        <v>0</v>
      </c>
      <c r="S36" s="3485"/>
      <c r="T36" s="3277">
        <f t="shared" ref="T36:T37" si="39">P36-C36</f>
        <v>5957328.6900233626</v>
      </c>
      <c r="U36" s="3278">
        <f t="shared" ref="U36:U37" si="40">T36/C36</f>
        <v>2.2656929909966841E-2</v>
      </c>
    </row>
    <row r="37" spans="1:21" ht="28.2" thickBot="1">
      <c r="B37" s="3511" t="s">
        <v>43</v>
      </c>
      <c r="C37" s="3512">
        <f>C32+C30</f>
        <v>223720319</v>
      </c>
      <c r="D37" s="3512">
        <f t="shared" ref="D37:H37" si="41">D32+D30</f>
        <v>-4921847.0179999992</v>
      </c>
      <c r="E37" s="3512">
        <f t="shared" si="41"/>
        <v>218798471.98199999</v>
      </c>
      <c r="F37" s="3512">
        <f t="shared" si="41"/>
        <v>20542399.074091367</v>
      </c>
      <c r="G37" s="3512">
        <f t="shared" si="41"/>
        <v>239340871.05609137</v>
      </c>
      <c r="H37" s="3512">
        <f t="shared" si="41"/>
        <v>15620552.056091366</v>
      </c>
      <c r="I37" s="3480">
        <f>H37/C37</f>
        <v>6.9821785191050825E-2</v>
      </c>
      <c r="J37" s="3513"/>
      <c r="K37" s="3511" t="s">
        <v>43</v>
      </c>
      <c r="L37" s="3512">
        <f>L32+L30</f>
        <v>223720319</v>
      </c>
      <c r="M37" s="3512">
        <f t="shared" ref="M37:Q37" si="42">M32+M30</f>
        <v>-4921847.0179999992</v>
      </c>
      <c r="N37" s="3512">
        <f t="shared" si="42"/>
        <v>218798471.98199999</v>
      </c>
      <c r="O37" s="3512">
        <f t="shared" si="42"/>
        <v>20542399.074091367</v>
      </c>
      <c r="P37" s="3512">
        <f t="shared" si="42"/>
        <v>239340871.05609137</v>
      </c>
      <c r="Q37" s="3512">
        <f t="shared" si="42"/>
        <v>15620552.056091366</v>
      </c>
      <c r="R37" s="3480">
        <f>(P37-G37)/L37</f>
        <v>0</v>
      </c>
      <c r="S37" s="3513"/>
      <c r="T37" s="3514">
        <f t="shared" si="39"/>
        <v>15620552.056091368</v>
      </c>
      <c r="U37" s="3480">
        <f t="shared" si="40"/>
        <v>6.9821785191050839E-2</v>
      </c>
    </row>
    <row r="39" spans="1:21">
      <c r="A39" s="3768" t="s">
        <v>944</v>
      </c>
      <c r="F39" s="3263"/>
      <c r="N39" s="3281"/>
      <c r="O39" s="3288"/>
    </row>
    <row r="40" spans="1:21">
      <c r="A40" s="3768" t="s">
        <v>446</v>
      </c>
      <c r="N40" s="3281"/>
      <c r="O40" s="3288"/>
    </row>
    <row r="41" spans="1:21">
      <c r="N41" s="3281"/>
      <c r="O41" s="3288"/>
    </row>
    <row r="42" spans="1:21">
      <c r="A42" s="3265" t="s">
        <v>912</v>
      </c>
      <c r="B42" s="3859"/>
      <c r="C42" s="3263"/>
      <c r="H42" s="3263"/>
      <c r="N42" s="3281"/>
      <c r="O42" s="3288"/>
    </row>
    <row r="43" spans="1:21">
      <c r="A43" s="3265" t="s">
        <v>913</v>
      </c>
      <c r="B43" s="3859"/>
      <c r="N43" s="3281"/>
      <c r="O43" s="3288"/>
    </row>
    <row r="44" spans="1:21">
      <c r="A44" s="3265" t="s">
        <v>914</v>
      </c>
      <c r="B44" s="3859"/>
      <c r="N44" s="3281"/>
      <c r="O44" s="3288"/>
    </row>
    <row r="45" spans="1:21">
      <c r="B45" s="3859"/>
      <c r="N45" s="3281"/>
      <c r="O45" s="3288"/>
    </row>
    <row r="46" spans="1:21">
      <c r="B46" s="3859"/>
      <c r="N46" s="3281"/>
      <c r="O46" s="3288"/>
    </row>
    <row r="47" spans="1:21">
      <c r="B47" s="3859"/>
      <c r="N47" s="3281"/>
      <c r="O47" s="3288"/>
    </row>
    <row r="48" spans="1:21">
      <c r="B48" s="3859"/>
      <c r="N48" s="3281"/>
      <c r="O48" s="3288"/>
    </row>
    <row r="49" spans="2:15">
      <c r="B49" s="3859"/>
      <c r="N49" s="3281"/>
      <c r="O49" s="3288"/>
    </row>
    <row r="50" spans="2:15">
      <c r="B50" s="3859"/>
      <c r="N50" s="3281"/>
      <c r="O50" s="3288"/>
    </row>
    <row r="51" spans="2:15">
      <c r="B51" s="3859"/>
      <c r="N51" s="3281"/>
      <c r="O51" s="3288"/>
    </row>
    <row r="52" spans="2:15">
      <c r="B52" s="3859"/>
      <c r="N52" s="3281"/>
      <c r="O52" s="3288"/>
    </row>
    <row r="53" spans="2:15">
      <c r="B53" s="3859"/>
      <c r="N53" s="3281"/>
      <c r="O53" s="3288"/>
    </row>
    <row r="54" spans="2:15">
      <c r="B54" s="3859"/>
      <c r="N54" s="3281"/>
      <c r="O54" s="3288"/>
    </row>
    <row r="55" spans="2:15">
      <c r="B55" s="3859"/>
      <c r="N55" s="3281"/>
      <c r="O55" s="3288"/>
    </row>
    <row r="56" spans="2:15">
      <c r="B56" s="3859"/>
      <c r="N56" s="3281"/>
      <c r="O56" s="3288"/>
    </row>
    <row r="57" spans="2:15">
      <c r="B57" s="3859"/>
      <c r="N57" s="3281"/>
      <c r="O57" s="3288"/>
    </row>
    <row r="58" spans="2:15">
      <c r="B58" s="3859"/>
      <c r="N58" s="3281"/>
      <c r="O58" s="3288"/>
    </row>
    <row r="59" spans="2:15">
      <c r="B59" s="3859"/>
      <c r="N59" s="3281"/>
      <c r="O59" s="3288"/>
    </row>
    <row r="60" spans="2:15">
      <c r="B60" s="3859"/>
      <c r="N60" s="3281"/>
      <c r="O60" s="3288"/>
    </row>
    <row r="61" spans="2:15">
      <c r="B61" s="3859"/>
      <c r="N61" s="3281"/>
      <c r="O61" s="3288"/>
    </row>
    <row r="62" spans="2:15">
      <c r="B62" s="3859"/>
      <c r="N62" s="3281"/>
      <c r="O62" s="3288"/>
    </row>
    <row r="63" spans="2:15">
      <c r="B63" s="3859"/>
      <c r="N63" s="3281"/>
      <c r="O63" s="3288"/>
    </row>
    <row r="64" spans="2:15">
      <c r="B64" s="3859"/>
      <c r="N64" s="3281"/>
      <c r="O64" s="3288"/>
    </row>
    <row r="65" spans="2:3">
      <c r="B65" s="3860"/>
    </row>
    <row r="67" spans="2:3">
      <c r="C67" s="3857"/>
    </row>
    <row r="68" spans="2:3">
      <c r="C68" s="3858"/>
    </row>
  </sheetData>
  <mergeCells count="3">
    <mergeCell ref="T6:U6"/>
    <mergeCell ref="B6:I6"/>
    <mergeCell ref="K6:R6"/>
  </mergeCells>
  <pageMargins left="0.7" right="0.7" top="0.75" bottom="0.75" header="0.3" footer="0.3"/>
  <pageSetup paperSize="5" scale="65" orientation="landscape" r:id="rId1"/>
  <headerFooter>
    <oddFooter>&amp;LHouse Ways and Means Cmte Amendment 1001 2-14-13&amp;R&amp;D]</oddFooter>
  </headerFooter>
  <ignoredErrors>
    <ignoredError sqref="F8:F14 O8:O14 F16:F32 O16:O3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zoomScaleNormal="100" workbookViewId="0">
      <selection activeCell="K50" sqref="K50"/>
    </sheetView>
  </sheetViews>
  <sheetFormatPr defaultColWidth="9.109375" defaultRowHeight="13.8"/>
  <cols>
    <col min="1" max="1" width="6.6640625" style="3563" customWidth="1"/>
    <col min="2" max="2" width="20.109375" style="3563" bestFit="1" customWidth="1"/>
    <col min="3" max="3" width="16" style="3563" customWidth="1"/>
    <col min="4" max="4" width="11.44140625" style="3563" bestFit="1" customWidth="1"/>
    <col min="5" max="5" width="10.44140625" style="3563" bestFit="1" customWidth="1"/>
    <col min="6" max="6" width="10.88671875" style="3563" bestFit="1" customWidth="1"/>
    <col min="7" max="8" width="10.44140625" style="3563" bestFit="1" customWidth="1"/>
    <col min="9" max="10" width="11.44140625" style="3563" bestFit="1" customWidth="1"/>
    <col min="11" max="11" width="11.44140625" style="3562" bestFit="1" customWidth="1"/>
    <col min="12" max="12" width="9.6640625" style="3564" bestFit="1" customWidth="1"/>
    <col min="13" max="13" width="10.88671875" style="3562" hidden="1" customWidth="1"/>
    <col min="14" max="16384" width="9.109375" style="3563"/>
  </cols>
  <sheetData>
    <row r="1" spans="1:13">
      <c r="A1" s="3562" t="s">
        <v>368</v>
      </c>
    </row>
    <row r="2" spans="1:13">
      <c r="A2" s="3563" t="s">
        <v>369</v>
      </c>
    </row>
    <row r="3" spans="1:13" ht="14.4" thickBot="1"/>
    <row r="4" spans="1:13" s="3562" customFormat="1" ht="14.4" thickBot="1">
      <c r="C4" s="3565" t="s">
        <v>370</v>
      </c>
      <c r="D4" s="3566" t="s">
        <v>371</v>
      </c>
      <c r="E4" s="3567" t="s">
        <v>372</v>
      </c>
      <c r="F4" s="3568" t="s">
        <v>373</v>
      </c>
      <c r="G4" s="3567" t="s">
        <v>374</v>
      </c>
      <c r="H4" s="3567" t="s">
        <v>375</v>
      </c>
      <c r="I4" s="3567" t="s">
        <v>376</v>
      </c>
      <c r="J4" s="3567" t="s">
        <v>377</v>
      </c>
      <c r="K4" s="3569" t="s">
        <v>378</v>
      </c>
      <c r="L4" s="3570" t="s">
        <v>379</v>
      </c>
      <c r="M4" s="3571" t="s">
        <v>380</v>
      </c>
    </row>
    <row r="5" spans="1:13" s="3562" customFormat="1">
      <c r="A5" s="4427" t="s">
        <v>512</v>
      </c>
      <c r="B5" s="4428"/>
      <c r="C5" s="3572" t="s">
        <v>381</v>
      </c>
      <c r="D5" s="3573" t="s">
        <v>382</v>
      </c>
      <c r="E5" s="3574" t="s">
        <v>371</v>
      </c>
      <c r="F5" s="3575" t="s">
        <v>371</v>
      </c>
      <c r="G5" s="3574" t="s">
        <v>383</v>
      </c>
      <c r="H5" s="3574" t="s">
        <v>383</v>
      </c>
      <c r="I5" s="3574" t="s">
        <v>383</v>
      </c>
      <c r="J5" s="3574" t="s">
        <v>384</v>
      </c>
      <c r="K5" s="3576" t="s">
        <v>385</v>
      </c>
      <c r="L5" s="3577" t="s">
        <v>385</v>
      </c>
      <c r="M5" s="3578" t="s">
        <v>386</v>
      </c>
    </row>
    <row r="6" spans="1:13" s="3562" customFormat="1" ht="14.4" thickBot="1">
      <c r="A6" s="4429"/>
      <c r="B6" s="4430"/>
      <c r="C6" s="3572" t="s">
        <v>387</v>
      </c>
      <c r="D6" s="3573" t="s">
        <v>388</v>
      </c>
      <c r="E6" s="3574" t="s">
        <v>382</v>
      </c>
      <c r="F6" s="3575" t="s">
        <v>382</v>
      </c>
      <c r="G6" s="3574" t="s">
        <v>389</v>
      </c>
      <c r="H6" s="3574" t="s">
        <v>389</v>
      </c>
      <c r="I6" s="3574" t="s">
        <v>390</v>
      </c>
      <c r="J6" s="3574" t="s">
        <v>391</v>
      </c>
      <c r="K6" s="3576" t="s">
        <v>391</v>
      </c>
      <c r="L6" s="3579" t="s">
        <v>391</v>
      </c>
      <c r="M6" s="3580" t="s">
        <v>392</v>
      </c>
    </row>
    <row r="7" spans="1:13">
      <c r="A7" s="3581" t="s">
        <v>393</v>
      </c>
      <c r="B7" s="3582"/>
      <c r="C7" s="3583"/>
      <c r="D7" s="3583"/>
      <c r="E7" s="3584"/>
      <c r="F7" s="3585"/>
      <c r="G7" s="3584"/>
      <c r="H7" s="3584"/>
      <c r="I7" s="3584"/>
      <c r="J7" s="3584"/>
      <c r="K7" s="3586"/>
      <c r="L7" s="3587"/>
      <c r="M7" s="3588"/>
    </row>
    <row r="8" spans="1:13">
      <c r="A8" s="3589"/>
      <c r="B8" s="3590" t="s">
        <v>194</v>
      </c>
      <c r="C8" s="3591">
        <f>190670086*-C40</f>
        <v>-9440542.0838882476</v>
      </c>
      <c r="D8" s="3592">
        <v>0</v>
      </c>
      <c r="E8" s="3593">
        <v>52875</v>
      </c>
      <c r="F8" s="3594"/>
      <c r="G8" s="3593">
        <v>0</v>
      </c>
      <c r="H8" s="3593">
        <v>0</v>
      </c>
      <c r="I8" s="3593">
        <v>0</v>
      </c>
      <c r="J8" s="3593">
        <v>1114694.3499999999</v>
      </c>
      <c r="K8" s="3595">
        <f>SUM(D8:J8)</f>
        <v>1167569.3499999999</v>
      </c>
      <c r="L8" s="3596">
        <f>K8/$K$35</f>
        <v>1.9118810011234152E-2</v>
      </c>
      <c r="M8" s="3597">
        <f>C8+K8</f>
        <v>-8272972.733888248</v>
      </c>
    </row>
    <row r="9" spans="1:13">
      <c r="A9" s="3589"/>
      <c r="B9" s="3590" t="s">
        <v>195</v>
      </c>
      <c r="C9" s="3591">
        <f>7896005*-C40</f>
        <v>-390950.51070093934</v>
      </c>
      <c r="D9" s="3592">
        <v>185392.96875</v>
      </c>
      <c r="E9" s="3593">
        <v>8625</v>
      </c>
      <c r="F9" s="3594"/>
      <c r="G9" s="3593">
        <v>0</v>
      </c>
      <c r="H9" s="3593">
        <v>0</v>
      </c>
      <c r="I9" s="3593">
        <v>720000</v>
      </c>
      <c r="J9" s="3593"/>
      <c r="K9" s="3595">
        <f t="shared" ref="K9:K33" si="0">SUM(D9:J9)</f>
        <v>914017.96875</v>
      </c>
      <c r="L9" s="3596">
        <f t="shared" ref="L9:L15" si="1">K9/$K$35</f>
        <v>1.4966936132218103E-2</v>
      </c>
      <c r="M9" s="3597">
        <f t="shared" ref="M9:M16" si="2">C9+K9</f>
        <v>523067.45804906066</v>
      </c>
    </row>
    <row r="10" spans="1:13">
      <c r="A10" s="3589"/>
      <c r="B10" s="3590" t="s">
        <v>196</v>
      </c>
      <c r="C10" s="3591">
        <f>10345995*-C40</f>
        <v>-512255.50502556231</v>
      </c>
      <c r="D10" s="3592">
        <v>63445.59375</v>
      </c>
      <c r="E10" s="3593">
        <v>20625</v>
      </c>
      <c r="F10" s="3594"/>
      <c r="G10" s="3593">
        <v>102375</v>
      </c>
      <c r="H10" s="3593">
        <v>0</v>
      </c>
      <c r="I10" s="3593">
        <v>1450000</v>
      </c>
      <c r="J10" s="3593"/>
      <c r="K10" s="3595">
        <f t="shared" si="0"/>
        <v>1636445.59375</v>
      </c>
      <c r="L10" s="3596">
        <f t="shared" si="1"/>
        <v>2.6796603046001094E-2</v>
      </c>
      <c r="M10" s="3597">
        <f t="shared" si="2"/>
        <v>1124190.0887244376</v>
      </c>
    </row>
    <row r="11" spans="1:13">
      <c r="A11" s="3589"/>
      <c r="B11" s="3590" t="s">
        <v>197</v>
      </c>
      <c r="C11" s="3591">
        <f>16949512*-C40</f>
        <v>-839211.77513586928</v>
      </c>
      <c r="D11" s="3592">
        <v>284543.875</v>
      </c>
      <c r="E11" s="3593">
        <v>9750</v>
      </c>
      <c r="F11" s="3594"/>
      <c r="G11" s="3593">
        <v>0</v>
      </c>
      <c r="H11" s="3593">
        <v>0</v>
      </c>
      <c r="I11" s="3593">
        <v>60000</v>
      </c>
      <c r="J11" s="3593"/>
      <c r="K11" s="3595">
        <f t="shared" si="0"/>
        <v>354293.875</v>
      </c>
      <c r="L11" s="3596">
        <f t="shared" si="1"/>
        <v>5.8015202987890544E-3</v>
      </c>
      <c r="M11" s="3597">
        <f t="shared" si="2"/>
        <v>-484917.90013586928</v>
      </c>
    </row>
    <row r="12" spans="1:13">
      <c r="A12" s="3589"/>
      <c r="B12" s="3590" t="s">
        <v>198</v>
      </c>
      <c r="C12" s="3591">
        <f>21772918*-C40</f>
        <v>-1078030.3978467181</v>
      </c>
      <c r="D12" s="3592">
        <v>318326.59375</v>
      </c>
      <c r="E12" s="3593">
        <v>22125</v>
      </c>
      <c r="F12" s="3594"/>
      <c r="G12" s="3593">
        <v>44625</v>
      </c>
      <c r="H12" s="3593">
        <v>0</v>
      </c>
      <c r="I12" s="3593">
        <v>920000</v>
      </c>
      <c r="J12" s="3593"/>
      <c r="K12" s="3595">
        <f t="shared" si="0"/>
        <v>1305076.59375</v>
      </c>
      <c r="L12" s="3596">
        <f t="shared" si="1"/>
        <v>2.1370474863882705E-2</v>
      </c>
      <c r="M12" s="3597">
        <f t="shared" si="2"/>
        <v>227046.19590328191</v>
      </c>
    </row>
    <row r="13" spans="1:13">
      <c r="A13" s="3589"/>
      <c r="B13" s="3590" t="s">
        <v>199</v>
      </c>
      <c r="C13" s="3591">
        <f>19846717*-C40</f>
        <v>-982659.47740496811</v>
      </c>
      <c r="D13" s="3592">
        <v>307065.6875</v>
      </c>
      <c r="E13" s="3593">
        <v>0</v>
      </c>
      <c r="F13" s="3594"/>
      <c r="G13" s="3593">
        <v>10500</v>
      </c>
      <c r="H13" s="3593">
        <v>16805.555555555504</v>
      </c>
      <c r="I13" s="3593">
        <v>0</v>
      </c>
      <c r="J13" s="3593"/>
      <c r="K13" s="3595">
        <f t="shared" si="0"/>
        <v>334371.2430555555</v>
      </c>
      <c r="L13" s="3596">
        <f t="shared" si="1"/>
        <v>5.475289557060883E-3</v>
      </c>
      <c r="M13" s="3597">
        <f t="shared" si="2"/>
        <v>-648288.23434941261</v>
      </c>
    </row>
    <row r="14" spans="1:13" ht="14.4" thickBot="1">
      <c r="A14" s="3589"/>
      <c r="B14" s="3590" t="s">
        <v>829</v>
      </c>
      <c r="C14" s="3591">
        <f>80232626*-C40</f>
        <v>-3972513.4558016951</v>
      </c>
      <c r="D14" s="3592">
        <v>444668.46875</v>
      </c>
      <c r="E14" s="3593">
        <v>15375</v>
      </c>
      <c r="F14" s="3594"/>
      <c r="G14" s="3593">
        <v>480375</v>
      </c>
      <c r="H14" s="3593">
        <v>25534.746180384456</v>
      </c>
      <c r="I14" s="3593">
        <v>7100000</v>
      </c>
      <c r="J14" s="3593">
        <v>2197799.835</v>
      </c>
      <c r="K14" s="3595">
        <f>SUM(D14:J14)</f>
        <v>10263753.049930384</v>
      </c>
      <c r="L14" s="3596">
        <f>K14/$K$35</f>
        <v>0.16806774224061646</v>
      </c>
      <c r="M14" s="3606">
        <f>C14+K14</f>
        <v>6291239.5941286888</v>
      </c>
    </row>
    <row r="15" spans="1:13" ht="15" thickTop="1" thickBot="1">
      <c r="A15" s="3598"/>
      <c r="B15" s="3599" t="s">
        <v>496</v>
      </c>
      <c r="C15" s="3600">
        <f>114175436*-C40</f>
        <v>-5653104.9579758896</v>
      </c>
      <c r="D15" s="3601">
        <v>43121.03125</v>
      </c>
      <c r="E15" s="3602">
        <v>0</v>
      </c>
      <c r="F15" s="3603"/>
      <c r="G15" s="3602">
        <v>0</v>
      </c>
      <c r="H15" s="3602">
        <v>0</v>
      </c>
      <c r="I15" s="3602">
        <v>0</v>
      </c>
      <c r="J15" s="3602">
        <v>2898933.73</v>
      </c>
      <c r="K15" s="3604">
        <f t="shared" si="0"/>
        <v>2942054.76125</v>
      </c>
      <c r="L15" s="3605">
        <f t="shared" si="1"/>
        <v>4.8175798742049546E-2</v>
      </c>
      <c r="M15" s="3597">
        <f t="shared" si="2"/>
        <v>-2711050.1967258896</v>
      </c>
    </row>
    <row r="16" spans="1:13" s="3562" customFormat="1" ht="14.4" thickTop="1">
      <c r="A16" s="3589" t="s">
        <v>394</v>
      </c>
      <c r="B16" s="3607"/>
      <c r="C16" s="3608">
        <f t="shared" ref="C16:J16" si="3">SUM(C8:C15)</f>
        <v>-22869268.163779888</v>
      </c>
      <c r="D16" s="3608">
        <f t="shared" si="3"/>
        <v>1646564.21875</v>
      </c>
      <c r="E16" s="3609">
        <f t="shared" si="3"/>
        <v>129375</v>
      </c>
      <c r="F16" s="3610">
        <f t="shared" si="3"/>
        <v>0</v>
      </c>
      <c r="G16" s="3609">
        <f t="shared" si="3"/>
        <v>637875</v>
      </c>
      <c r="H16" s="3609">
        <f t="shared" si="3"/>
        <v>42340.30173593996</v>
      </c>
      <c r="I16" s="3609">
        <f t="shared" si="3"/>
        <v>10250000</v>
      </c>
      <c r="J16" s="3609">
        <f t="shared" si="3"/>
        <v>6211427.9149999991</v>
      </c>
      <c r="K16" s="3595">
        <f t="shared" si="0"/>
        <v>18917582.435485937</v>
      </c>
      <c r="L16" s="3611">
        <f>K16/$K$35</f>
        <v>0.30977317489185197</v>
      </c>
      <c r="M16" s="3612">
        <f t="shared" si="2"/>
        <v>-3951685.7282939516</v>
      </c>
    </row>
    <row r="17" spans="1:13">
      <c r="A17" s="3589"/>
      <c r="B17" s="3590"/>
      <c r="C17" s="3591"/>
      <c r="D17" s="3592"/>
      <c r="E17" s="3593"/>
      <c r="F17" s="3594"/>
      <c r="G17" s="3593"/>
      <c r="H17" s="3593"/>
      <c r="I17" s="3593"/>
      <c r="J17" s="3593"/>
      <c r="K17" s="3595"/>
      <c r="L17" s="3596"/>
      <c r="M17" s="3612"/>
    </row>
    <row r="18" spans="1:13">
      <c r="A18" s="3589" t="s">
        <v>395</v>
      </c>
      <c r="B18" s="3590"/>
      <c r="C18" s="3591"/>
      <c r="D18" s="3592"/>
      <c r="E18" s="3593"/>
      <c r="F18" s="3594"/>
      <c r="G18" s="3593"/>
      <c r="H18" s="3593"/>
      <c r="I18" s="3613"/>
      <c r="J18" s="3593"/>
      <c r="K18" s="3595"/>
      <c r="L18" s="3596"/>
      <c r="M18" s="3612"/>
    </row>
    <row r="19" spans="1:13">
      <c r="A19" s="3589"/>
      <c r="B19" s="3590" t="s">
        <v>396</v>
      </c>
      <c r="C19" s="3591">
        <f>241119044*-C40</f>
        <v>-11938393.325678272</v>
      </c>
      <c r="D19" s="3592">
        <v>0</v>
      </c>
      <c r="E19" s="3593">
        <v>0</v>
      </c>
      <c r="F19" s="3594"/>
      <c r="G19" s="3593">
        <v>475125</v>
      </c>
      <c r="H19" s="3593">
        <v>777874.83702737978</v>
      </c>
      <c r="I19" s="3593">
        <v>0</v>
      </c>
      <c r="J19" s="3593">
        <v>6101576.25</v>
      </c>
      <c r="K19" s="3595">
        <f t="shared" si="0"/>
        <v>7354576.0870273802</v>
      </c>
      <c r="L19" s="3596">
        <f>K19/$K$35</f>
        <v>0.12043031355785623</v>
      </c>
      <c r="M19" s="3597">
        <f t="shared" ref="M19:M23" si="4">C19+K19</f>
        <v>-4583817.2386508919</v>
      </c>
    </row>
    <row r="20" spans="1:13">
      <c r="A20" s="3589"/>
      <c r="B20" s="3590" t="s">
        <v>397</v>
      </c>
      <c r="C20" s="3591">
        <f>26750801*-C40</f>
        <v>-1324497.5544733317</v>
      </c>
      <c r="D20" s="3592">
        <v>235929.71875</v>
      </c>
      <c r="E20" s="3593">
        <v>22875</v>
      </c>
      <c r="F20" s="3594"/>
      <c r="G20" s="3593">
        <v>168000</v>
      </c>
      <c r="H20" s="3593">
        <v>30479.452054794521</v>
      </c>
      <c r="I20" s="3593">
        <v>1260000</v>
      </c>
      <c r="J20" s="3593"/>
      <c r="K20" s="3595">
        <f t="shared" si="0"/>
        <v>1717284.1708047944</v>
      </c>
      <c r="L20" s="3596">
        <f>K20/$K$35</f>
        <v>2.8120325184038657E-2</v>
      </c>
      <c r="M20" s="3597">
        <f t="shared" si="4"/>
        <v>392786.61633146275</v>
      </c>
    </row>
    <row r="21" spans="1:13">
      <c r="A21" s="3589"/>
      <c r="B21" s="3590" t="s">
        <v>398</v>
      </c>
      <c r="C21" s="3591">
        <f>12299238*-C40</f>
        <v>-608965.34099616192</v>
      </c>
      <c r="D21" s="3592">
        <v>0</v>
      </c>
      <c r="E21" s="3593">
        <v>112875</v>
      </c>
      <c r="F21" s="3594"/>
      <c r="G21" s="3593">
        <v>57750</v>
      </c>
      <c r="H21" s="3593">
        <v>0</v>
      </c>
      <c r="I21" s="3593">
        <v>1350000</v>
      </c>
      <c r="J21" s="3593"/>
      <c r="K21" s="3595">
        <f t="shared" si="0"/>
        <v>1520625</v>
      </c>
      <c r="L21" s="3596">
        <f>K21/$K$35</f>
        <v>2.4900054522100066E-2</v>
      </c>
      <c r="M21" s="3597">
        <f t="shared" si="4"/>
        <v>911659.65900383808</v>
      </c>
    </row>
    <row r="22" spans="1:13" ht="14.4" thickBot="1">
      <c r="A22" s="3598"/>
      <c r="B22" s="3599" t="s">
        <v>272</v>
      </c>
      <c r="C22" s="3600">
        <f>37816896*-C40</f>
        <v>-1872406.9709079857</v>
      </c>
      <c r="D22" s="3601">
        <v>513332.53125</v>
      </c>
      <c r="E22" s="3602">
        <v>50625</v>
      </c>
      <c r="F22" s="3603"/>
      <c r="G22" s="3602">
        <v>84000</v>
      </c>
      <c r="H22" s="3602">
        <v>42793.867120954092</v>
      </c>
      <c r="I22" s="3602">
        <v>2350000</v>
      </c>
      <c r="J22" s="3602"/>
      <c r="K22" s="3604">
        <f t="shared" si="0"/>
        <v>3040751.3983709542</v>
      </c>
      <c r="L22" s="3605">
        <f>K22/$K$35</f>
        <v>4.9791944501496932E-2</v>
      </c>
      <c r="M22" s="3606">
        <f t="shared" si="4"/>
        <v>1168344.4274629685</v>
      </c>
    </row>
    <row r="23" spans="1:13" s="3562" customFormat="1" ht="14.4" thickTop="1">
      <c r="A23" s="3589" t="s">
        <v>399</v>
      </c>
      <c r="B23" s="3607"/>
      <c r="C23" s="3608">
        <f>SUM(C19:C22)</f>
        <v>-15744263.192055751</v>
      </c>
      <c r="D23" s="3608">
        <f>SUM(D19:D22)</f>
        <v>749262.25</v>
      </c>
      <c r="E23" s="3609">
        <f t="shared" ref="E23:J23" si="5">SUM(E19:E22)</f>
        <v>186375</v>
      </c>
      <c r="F23" s="3610">
        <f t="shared" si="5"/>
        <v>0</v>
      </c>
      <c r="G23" s="3609">
        <f t="shared" si="5"/>
        <v>784875</v>
      </c>
      <c r="H23" s="3609">
        <f t="shared" si="5"/>
        <v>851148.1562031284</v>
      </c>
      <c r="I23" s="3609">
        <f t="shared" si="5"/>
        <v>4960000</v>
      </c>
      <c r="J23" s="3609">
        <f t="shared" si="5"/>
        <v>6101576.25</v>
      </c>
      <c r="K23" s="3595">
        <f t="shared" si="0"/>
        <v>13633236.656203128</v>
      </c>
      <c r="L23" s="3611">
        <f>K23/$K$35</f>
        <v>0.22324263776549189</v>
      </c>
      <c r="M23" s="3612">
        <f t="shared" si="4"/>
        <v>-2111026.5358526222</v>
      </c>
    </row>
    <row r="24" spans="1:13">
      <c r="A24" s="3589"/>
      <c r="B24" s="3590"/>
      <c r="C24" s="3591"/>
      <c r="D24" s="3592"/>
      <c r="E24" s="3593"/>
      <c r="F24" s="3594"/>
      <c r="G24" s="3593"/>
      <c r="H24" s="3593"/>
      <c r="I24" s="3593"/>
      <c r="J24" s="3593"/>
      <c r="K24" s="3595"/>
      <c r="L24" s="3596"/>
      <c r="M24" s="3612"/>
    </row>
    <row r="25" spans="1:13">
      <c r="A25" s="3589" t="s">
        <v>217</v>
      </c>
      <c r="B25" s="3590"/>
      <c r="C25" s="3591">
        <f>71536249*-C40</f>
        <v>-3541934.5707328659</v>
      </c>
      <c r="D25" s="3592">
        <v>0</v>
      </c>
      <c r="E25" s="3593">
        <v>5024.9999999999991</v>
      </c>
      <c r="F25" s="3594"/>
      <c r="G25" s="3593">
        <v>228375</v>
      </c>
      <c r="H25" s="3593">
        <v>221404.49438202265</v>
      </c>
      <c r="I25" s="3593">
        <v>0</v>
      </c>
      <c r="J25" s="3593"/>
      <c r="K25" s="3595">
        <f t="shared" si="0"/>
        <v>454804.49438202265</v>
      </c>
      <c r="L25" s="3596">
        <f>K25/$K$35</f>
        <v>7.4473698032115196E-3</v>
      </c>
      <c r="M25" s="3597">
        <f>C25+K25</f>
        <v>-3087130.0763508435</v>
      </c>
    </row>
    <row r="26" spans="1:13">
      <c r="A26" s="3589"/>
      <c r="B26" s="3590"/>
      <c r="C26" s="3591"/>
      <c r="D26" s="3592"/>
      <c r="E26" s="3593"/>
      <c r="F26" s="3594"/>
      <c r="G26" s="3593"/>
      <c r="H26" s="3593"/>
      <c r="I26" s="3593"/>
      <c r="J26" s="3593"/>
      <c r="K26" s="3595"/>
      <c r="L26" s="3596"/>
      <c r="M26" s="3597"/>
    </row>
    <row r="27" spans="1:13">
      <c r="A27" s="3589" t="s">
        <v>400</v>
      </c>
      <c r="B27" s="3590"/>
      <c r="C27" s="3591">
        <f>39172365*-C40</f>
        <v>-1939519.554776574</v>
      </c>
      <c r="D27" s="3592">
        <v>345242.90625</v>
      </c>
      <c r="E27" s="3593">
        <v>61500</v>
      </c>
      <c r="F27" s="3594"/>
      <c r="G27" s="3593">
        <v>228375</v>
      </c>
      <c r="H27" s="3593">
        <v>98852.45901639355</v>
      </c>
      <c r="I27" s="3593">
        <v>2580000</v>
      </c>
      <c r="J27" s="3593"/>
      <c r="K27" s="3595">
        <f t="shared" si="0"/>
        <v>3313970.3652663934</v>
      </c>
      <c r="L27" s="3596">
        <f>K27/$K$35</f>
        <v>5.426587276926071E-2</v>
      </c>
      <c r="M27" s="3597">
        <f>C27+K27</f>
        <v>1374450.8104898194</v>
      </c>
    </row>
    <row r="28" spans="1:13">
      <c r="A28" s="3589"/>
      <c r="B28" s="3590"/>
      <c r="C28" s="3591"/>
      <c r="D28" s="3592"/>
      <c r="E28" s="3593"/>
      <c r="F28" s="3594"/>
      <c r="G28" s="3593"/>
      <c r="H28" s="3593"/>
      <c r="I28" s="3593"/>
      <c r="J28" s="3593"/>
      <c r="K28" s="3595"/>
      <c r="L28" s="3596"/>
      <c r="M28" s="3597"/>
    </row>
    <row r="29" spans="1:13">
      <c r="A29" s="3589" t="s">
        <v>224</v>
      </c>
      <c r="B29" s="3590"/>
      <c r="C29" s="3591">
        <f>125182828*-C40</f>
        <v>-6198107.8453708999</v>
      </c>
      <c r="D29" s="3592">
        <v>542720.75</v>
      </c>
      <c r="E29" s="3593">
        <v>13125</v>
      </c>
      <c r="F29" s="3594"/>
      <c r="G29" s="3593">
        <v>0</v>
      </c>
      <c r="H29" s="3593">
        <v>0</v>
      </c>
      <c r="I29" s="3593">
        <v>580000</v>
      </c>
      <c r="J29" s="3593"/>
      <c r="K29" s="3595">
        <f t="shared" si="0"/>
        <v>1135845.75</v>
      </c>
      <c r="L29" s="3596">
        <f>K29/$K$35</f>
        <v>1.8599339813363348E-2</v>
      </c>
      <c r="M29" s="3597">
        <f>C29+K29</f>
        <v>-5062262.0953708999</v>
      </c>
    </row>
    <row r="30" spans="1:13">
      <c r="A30" s="3589"/>
      <c r="B30" s="3590"/>
      <c r="C30" s="3591"/>
      <c r="D30" s="3592"/>
      <c r="E30" s="3593"/>
      <c r="F30" s="3594"/>
      <c r="G30" s="3593"/>
      <c r="H30" s="3593"/>
      <c r="I30" s="3593"/>
      <c r="J30" s="3593"/>
      <c r="K30" s="3595"/>
      <c r="L30" s="3596"/>
      <c r="M30" s="3597"/>
    </row>
    <row r="31" spans="1:13">
      <c r="A31" s="3589" t="s">
        <v>256</v>
      </c>
      <c r="B31" s="3590"/>
      <c r="C31" s="3591">
        <f>37190537*-C40</f>
        <v>-1841394.4055749939</v>
      </c>
      <c r="D31" s="3592">
        <v>692408.40625</v>
      </c>
      <c r="E31" s="3593">
        <v>190875</v>
      </c>
      <c r="F31" s="3594">
        <v>508725</v>
      </c>
      <c r="G31" s="3593">
        <v>166425</v>
      </c>
      <c r="H31" s="3593">
        <v>0</v>
      </c>
      <c r="I31" s="3593">
        <v>810000</v>
      </c>
      <c r="J31" s="3593"/>
      <c r="K31" s="3595">
        <f t="shared" si="0"/>
        <v>2368433.40625</v>
      </c>
      <c r="L31" s="3596">
        <f>K31/$K$35</f>
        <v>3.8782816899359258E-2</v>
      </c>
      <c r="M31" s="3597">
        <f>C31+K31</f>
        <v>527039.00067500607</v>
      </c>
    </row>
    <row r="32" spans="1:13">
      <c r="A32" s="3589"/>
      <c r="B32" s="3590"/>
      <c r="C32" s="3591"/>
      <c r="D32" s="3592"/>
      <c r="E32" s="3593"/>
      <c r="F32" s="3594"/>
      <c r="G32" s="3593"/>
      <c r="H32" s="3593"/>
      <c r="I32" s="3593"/>
      <c r="J32" s="3593"/>
      <c r="K32" s="3595"/>
      <c r="L32" s="3596"/>
      <c r="M32" s="3597"/>
    </row>
    <row r="33" spans="1:13" ht="14.4" thickBot="1">
      <c r="A33" s="3614" t="s">
        <v>401</v>
      </c>
      <c r="B33" s="3615"/>
      <c r="C33" s="3616">
        <f>175842161*-C40</f>
        <v>-8706375.2677090243</v>
      </c>
      <c r="D33" s="3617">
        <v>8514618.40625</v>
      </c>
      <c r="E33" s="3618">
        <v>976125</v>
      </c>
      <c r="F33" s="3619"/>
      <c r="G33" s="3618">
        <v>397726.875</v>
      </c>
      <c r="H33" s="3618">
        <v>0</v>
      </c>
      <c r="I33" s="3618">
        <v>11356800</v>
      </c>
      <c r="J33" s="3618"/>
      <c r="K33" s="3620">
        <f t="shared" si="0"/>
        <v>21245270.28125</v>
      </c>
      <c r="L33" s="3621">
        <f>K33/$K$35</f>
        <v>0.34788878805746137</v>
      </c>
      <c r="M33" s="3597">
        <f>C33+K33</f>
        <v>12538895.013540976</v>
      </c>
    </row>
    <row r="34" spans="1:13" ht="14.4" thickBot="1">
      <c r="A34" s="3622"/>
      <c r="B34" s="3622"/>
      <c r="C34" s="3623"/>
      <c r="D34" s="3624"/>
      <c r="E34" s="3625"/>
      <c r="F34" s="3625"/>
      <c r="G34" s="3625"/>
      <c r="H34" s="3625"/>
      <c r="I34" s="3625"/>
      <c r="J34" s="3625"/>
      <c r="K34" s="3626"/>
      <c r="L34" s="3627"/>
      <c r="M34" s="3628"/>
    </row>
    <row r="35" spans="1:13" s="3562" customFormat="1">
      <c r="B35" s="3629" t="s">
        <v>402</v>
      </c>
      <c r="C35" s="3630">
        <f t="shared" ref="C35:J35" si="6">C16+C23+C27+C29+C31+C33+C25</f>
        <v>-60840863</v>
      </c>
      <c r="D35" s="3630">
        <f t="shared" si="6"/>
        <v>12490816.9375</v>
      </c>
      <c r="E35" s="3631">
        <f>E16+E23+E27+E29+E31+E33+E25</f>
        <v>1562400</v>
      </c>
      <c r="F35" s="3631">
        <f t="shared" si="6"/>
        <v>508725</v>
      </c>
      <c r="G35" s="3631">
        <f t="shared" si="6"/>
        <v>2443651.875</v>
      </c>
      <c r="H35" s="3631">
        <f t="shared" si="6"/>
        <v>1213745.4113374846</v>
      </c>
      <c r="I35" s="3631">
        <f t="shared" si="6"/>
        <v>30536800</v>
      </c>
      <c r="J35" s="3631">
        <f t="shared" si="6"/>
        <v>12313004.164999999</v>
      </c>
      <c r="K35" s="3632">
        <f>SUM(D35:J35)</f>
        <v>61069143.388837479</v>
      </c>
      <c r="L35" s="3633"/>
      <c r="M35" s="3634">
        <f>M16+M23+M25+M27+M29+M31+M33</f>
        <v>228280.38883748464</v>
      </c>
    </row>
    <row r="36" spans="1:13" ht="14.4" thickBot="1">
      <c r="B36" s="3635" t="s">
        <v>403</v>
      </c>
      <c r="C36" s="3636"/>
      <c r="D36" s="3637">
        <f t="shared" ref="D36:J36" si="7">D35/$K$35</f>
        <v>0.20453564999215518</v>
      </c>
      <c r="E36" s="3638">
        <f t="shared" si="7"/>
        <v>2.5584115206135072E-2</v>
      </c>
      <c r="F36" s="3638">
        <f t="shared" si="7"/>
        <v>8.3303117052234161E-3</v>
      </c>
      <c r="G36" s="3638">
        <f t="shared" si="7"/>
        <v>4.0014510428627741E-2</v>
      </c>
      <c r="H36" s="3638">
        <f t="shared" si="7"/>
        <v>1.9874937554132107E-2</v>
      </c>
      <c r="I36" s="3638">
        <f t="shared" si="7"/>
        <v>0.50003648824033886</v>
      </c>
      <c r="J36" s="3638">
        <f t="shared" si="7"/>
        <v>0.2016239868733877</v>
      </c>
      <c r="K36" s="3639">
        <f>SUM(D36:J36)</f>
        <v>1.0000000000000002</v>
      </c>
      <c r="L36" s="3640"/>
      <c r="M36" s="3641"/>
    </row>
    <row r="37" spans="1:13" ht="14.4" hidden="1" thickBot="1">
      <c r="B37" s="3642" t="s">
        <v>404</v>
      </c>
      <c r="D37" s="3643">
        <v>0.23499999999999999</v>
      </c>
      <c r="E37" s="3644">
        <v>1</v>
      </c>
      <c r="F37" s="3644">
        <v>1</v>
      </c>
      <c r="G37" s="3644">
        <v>1.05</v>
      </c>
      <c r="H37" s="3644">
        <v>2</v>
      </c>
      <c r="I37" s="3644">
        <v>4</v>
      </c>
      <c r="J37" s="3644">
        <v>0.60499999999999998</v>
      </c>
      <c r="K37" s="3645"/>
    </row>
    <row r="38" spans="1:13" hidden="1">
      <c r="C38" s="3563">
        <v>60840863</v>
      </c>
    </row>
    <row r="39" spans="1:13" hidden="1">
      <c r="C39" s="3563">
        <v>1228799414</v>
      </c>
    </row>
    <row r="40" spans="1:13" hidden="1">
      <c r="C40" s="3646">
        <f>C38/C39</f>
        <v>4.9512444673089663E-2</v>
      </c>
    </row>
    <row r="42" spans="1:13">
      <c r="K42" s="3756"/>
    </row>
  </sheetData>
  <mergeCells count="1">
    <mergeCell ref="A5:B6"/>
  </mergeCells>
  <pageMargins left="0.7" right="0.7" top="0.75" bottom="0.75" header="0.3" footer="0.3"/>
  <pageSetup scale="89" orientation="landscape" r:id="rId1"/>
  <headerFooter>
    <oddFooter>&amp;LHouse Ways and Means Cmte Amendment 1001 2-14-13&amp;CPFF Allocation 2011-13&amp;R&amp;D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topLeftCell="A7" zoomScaleNormal="100" workbookViewId="0">
      <selection activeCell="C7" sqref="C7"/>
    </sheetView>
  </sheetViews>
  <sheetFormatPr defaultColWidth="9.109375" defaultRowHeight="13.8"/>
  <cols>
    <col min="1" max="1" width="8.6640625" style="3563" customWidth="1"/>
    <col min="2" max="2" width="20.109375" style="3563" bestFit="1" customWidth="1"/>
    <col min="3" max="3" width="16" style="3563" customWidth="1"/>
    <col min="4" max="5" width="11.44140625" style="3563" bestFit="1" customWidth="1"/>
    <col min="6" max="6" width="10.44140625" style="3563" bestFit="1" customWidth="1"/>
    <col min="7" max="7" width="11.44140625" style="3563" bestFit="1" customWidth="1"/>
    <col min="8" max="8" width="11" style="3563" bestFit="1" customWidth="1"/>
    <col min="9" max="9" width="11.44140625" style="3563" bestFit="1" customWidth="1"/>
    <col min="10" max="10" width="10.44140625" style="3563" bestFit="1" customWidth="1"/>
    <col min="11" max="11" width="11.44140625" style="3562" bestFit="1" customWidth="1"/>
    <col min="12" max="12" width="9.88671875" style="3564" bestFit="1" customWidth="1"/>
    <col min="13" max="13" width="10.88671875" style="3562" hidden="1" customWidth="1"/>
    <col min="14" max="16384" width="9.109375" style="3563"/>
  </cols>
  <sheetData>
    <row r="1" spans="1:13">
      <c r="A1" s="3562" t="s">
        <v>368</v>
      </c>
    </row>
    <row r="2" spans="1:13">
      <c r="A2" s="3563" t="s">
        <v>495</v>
      </c>
    </row>
    <row r="3" spans="1:13" ht="14.4" thickBot="1"/>
    <row r="4" spans="1:13" s="3562" customFormat="1" ht="14.4" thickBot="1">
      <c r="C4" s="3565" t="s">
        <v>370</v>
      </c>
      <c r="D4" s="3566" t="s">
        <v>498</v>
      </c>
      <c r="E4" s="3567" t="s">
        <v>500</v>
      </c>
      <c r="F4" s="3568" t="s">
        <v>501</v>
      </c>
      <c r="G4" s="3567"/>
      <c r="H4" s="3567"/>
      <c r="I4" s="3567" t="s">
        <v>375</v>
      </c>
      <c r="J4" s="3567" t="s">
        <v>508</v>
      </c>
      <c r="K4" s="3569" t="s">
        <v>378</v>
      </c>
      <c r="L4" s="3570" t="s">
        <v>379</v>
      </c>
      <c r="M4" s="3571" t="s">
        <v>380</v>
      </c>
    </row>
    <row r="5" spans="1:13" s="3562" customFormat="1">
      <c r="A5" s="4427" t="s">
        <v>497</v>
      </c>
      <c r="B5" s="4428"/>
      <c r="C5" s="3572" t="s">
        <v>381</v>
      </c>
      <c r="D5" s="3573" t="s">
        <v>499</v>
      </c>
      <c r="E5" s="3574" t="s">
        <v>383</v>
      </c>
      <c r="F5" s="3575" t="s">
        <v>499</v>
      </c>
      <c r="G5" s="3574" t="s">
        <v>502</v>
      </c>
      <c r="H5" s="3574" t="s">
        <v>504</v>
      </c>
      <c r="I5" s="3574" t="s">
        <v>506</v>
      </c>
      <c r="J5" s="3574" t="s">
        <v>509</v>
      </c>
      <c r="K5" s="3576" t="s">
        <v>385</v>
      </c>
      <c r="L5" s="3577" t="s">
        <v>385</v>
      </c>
      <c r="M5" s="3578" t="s">
        <v>386</v>
      </c>
    </row>
    <row r="6" spans="1:13" s="3562" customFormat="1" ht="14.4" thickBot="1">
      <c r="A6" s="4429"/>
      <c r="B6" s="4430"/>
      <c r="C6" s="3572" t="s">
        <v>956</v>
      </c>
      <c r="D6" s="3573" t="s">
        <v>382</v>
      </c>
      <c r="E6" s="3574" t="s">
        <v>382</v>
      </c>
      <c r="F6" s="3575" t="s">
        <v>382</v>
      </c>
      <c r="G6" s="3574" t="s">
        <v>503</v>
      </c>
      <c r="H6" s="3574" t="s">
        <v>505</v>
      </c>
      <c r="I6" s="3574" t="s">
        <v>507</v>
      </c>
      <c r="J6" s="3574" t="s">
        <v>510</v>
      </c>
      <c r="K6" s="3576" t="s">
        <v>391</v>
      </c>
      <c r="L6" s="3579" t="s">
        <v>391</v>
      </c>
      <c r="M6" s="3580" t="s">
        <v>392</v>
      </c>
    </row>
    <row r="7" spans="1:13">
      <c r="A7" s="3581" t="s">
        <v>393</v>
      </c>
      <c r="B7" s="3582"/>
      <c r="C7" s="3583"/>
      <c r="D7" s="3583"/>
      <c r="E7" s="3584"/>
      <c r="F7" s="3585"/>
      <c r="G7" s="3584"/>
      <c r="H7" s="3584"/>
      <c r="I7" s="3584"/>
      <c r="J7" s="3584"/>
      <c r="K7" s="3586"/>
      <c r="L7" s="3587"/>
      <c r="M7" s="3588"/>
    </row>
    <row r="8" spans="1:13">
      <c r="A8" s="3589"/>
      <c r="B8" s="3590" t="s">
        <v>194</v>
      </c>
      <c r="C8" s="3896">
        <f>'2013-15 PFF Budget Ops Impact'!D8</f>
        <v>-3965906.0759999999</v>
      </c>
      <c r="D8" s="3592">
        <f>SUM('Summary of PFF Metrics 2014'!C9:G9)</f>
        <v>1075709.9999999965</v>
      </c>
      <c r="E8" s="3593">
        <f>SUM('Summary of PFF Metrics 2014'!H9:J9)</f>
        <v>854841.27333333343</v>
      </c>
      <c r="F8" s="3594">
        <f>SUM('Summary of PFF Metrics 2014'!K9:M9)</f>
        <v>1722114.272499999</v>
      </c>
      <c r="G8" s="3593">
        <f>SUM('Summary of PFF Metrics 2014'!N9:R9)</f>
        <v>0</v>
      </c>
      <c r="H8" s="3593">
        <f>SUM('Summary of PFF Metrics 2014'!S9:U9)</f>
        <v>0</v>
      </c>
      <c r="I8" s="3593">
        <f>SUM('Summary of PFF Metrics 2014'!V9:W9)</f>
        <v>4164017.5458333353</v>
      </c>
      <c r="J8" s="3593">
        <f>'Summary of PFF Metrics 2014'!X9</f>
        <v>676006.71749999991</v>
      </c>
      <c r="K8" s="3595">
        <f>SUM(D8:J8)</f>
        <v>8492689.8091666643</v>
      </c>
      <c r="L8" s="3596">
        <f>K8/$K$35</f>
        <v>0.12757123238537504</v>
      </c>
      <c r="M8" s="3597">
        <f>C8+K8</f>
        <v>4526783.7331666648</v>
      </c>
    </row>
    <row r="9" spans="1:13">
      <c r="A9" s="3589"/>
      <c r="B9" s="3590" t="s">
        <v>195</v>
      </c>
      <c r="C9" s="3896">
        <f>'2013-15 PFF Budget Ops Impact'!D9</f>
        <v>-183280.2598</v>
      </c>
      <c r="D9" s="3592">
        <f>SUM('Summary of PFF Metrics 2014'!C12:G12)</f>
        <v>439118.33333333343</v>
      </c>
      <c r="E9" s="3593">
        <f>SUM('Summary of PFF Metrics 2014'!H12:J12)</f>
        <v>231137.33999999997</v>
      </c>
      <c r="F9" s="3594">
        <f>SUM('Summary of PFF Metrics 2014'!K12:M12)</f>
        <v>0</v>
      </c>
      <c r="G9" s="3593">
        <f>SUM('Summary of PFF Metrics 2014'!N12:R12)</f>
        <v>139740.00000000003</v>
      </c>
      <c r="H9" s="3593">
        <f>SUM('Summary of PFF Metrics 2014'!S12:U12)</f>
        <v>0</v>
      </c>
      <c r="I9" s="3593">
        <f>SUM('Summary of PFF Metrics 2014'!V12:W12)</f>
        <v>0</v>
      </c>
      <c r="J9" s="3593">
        <f>'Summary of PFF Metrics 2014'!X12</f>
        <v>31240.953374999997</v>
      </c>
      <c r="K9" s="3595">
        <f t="shared" ref="K9:K33" si="0">SUM(D9:J9)</f>
        <v>841236.62670833338</v>
      </c>
      <c r="L9" s="3596">
        <f t="shared" ref="L9:L15" si="1">K9/$K$35</f>
        <v>1.2636466844822655E-2</v>
      </c>
      <c r="M9" s="3597">
        <f t="shared" ref="M9:M16" si="2">C9+K9</f>
        <v>657956.36690833338</v>
      </c>
    </row>
    <row r="10" spans="1:13">
      <c r="A10" s="3589"/>
      <c r="B10" s="3590" t="s">
        <v>196</v>
      </c>
      <c r="C10" s="3896">
        <f>'2013-15 PFF Budget Ops Impact'!D10</f>
        <v>-249802.99519999998</v>
      </c>
      <c r="D10" s="3592">
        <f>SUM('Summary of PFF Metrics 2014'!C15:G15)</f>
        <v>645685.83333333337</v>
      </c>
      <c r="E10" s="3593">
        <f>SUM('Summary of PFF Metrics 2014'!H15:J15)</f>
        <v>245812.72666666668</v>
      </c>
      <c r="F10" s="3594">
        <f>SUM('Summary of PFF Metrics 2014'!K15:M15)</f>
        <v>0</v>
      </c>
      <c r="G10" s="3593">
        <f>SUM('Summary of PFF Metrics 2014'!N15:R15)</f>
        <v>15809.999999999993</v>
      </c>
      <c r="H10" s="3593">
        <f>SUM('Summary of PFF Metrics 2014'!S15:U15)</f>
        <v>0</v>
      </c>
      <c r="I10" s="3593">
        <f>SUM('Summary of PFF Metrics 2014'!V15:W15)</f>
        <v>0</v>
      </c>
      <c r="J10" s="3593">
        <f>'Summary of PFF Metrics 2014'!X15</f>
        <v>52799.269439999996</v>
      </c>
      <c r="K10" s="3595">
        <f t="shared" si="0"/>
        <v>960107.82944</v>
      </c>
      <c r="L10" s="3596">
        <f t="shared" si="1"/>
        <v>1.4422066715813173E-2</v>
      </c>
      <c r="M10" s="3597">
        <f t="shared" si="2"/>
        <v>710304.83424</v>
      </c>
    </row>
    <row r="11" spans="1:13">
      <c r="A11" s="3589"/>
      <c r="B11" s="3590" t="s">
        <v>197</v>
      </c>
      <c r="C11" s="3896">
        <f>'2013-15 PFF Budget Ops Impact'!D11</f>
        <v>-358058.09599999996</v>
      </c>
      <c r="D11" s="3592">
        <f>SUM('Summary of PFF Metrics 2014'!C18:G18)</f>
        <v>278021.66666666651</v>
      </c>
      <c r="E11" s="3593">
        <f>SUM('Summary of PFF Metrics 2014'!H18:J18)</f>
        <v>221965.22333333336</v>
      </c>
      <c r="F11" s="3594">
        <f>SUM('Summary of PFF Metrics 2014'!K18:M18)</f>
        <v>0</v>
      </c>
      <c r="G11" s="3593">
        <f>SUM('Summary of PFF Metrics 2014'!N18:R18)</f>
        <v>302940.00000000012</v>
      </c>
      <c r="H11" s="3593">
        <f>SUM('Summary of PFF Metrics 2014'!S18:U18)</f>
        <v>0</v>
      </c>
      <c r="I11" s="3593">
        <f>SUM('Summary of PFF Metrics 2014'!V18:W18)</f>
        <v>0</v>
      </c>
      <c r="J11" s="3593">
        <f>'Summary of PFF Metrics 2014'!X18</f>
        <v>0</v>
      </c>
      <c r="K11" s="3595">
        <f t="shared" si="0"/>
        <v>802926.89</v>
      </c>
      <c r="L11" s="3596">
        <f t="shared" si="1"/>
        <v>1.2061004837607196E-2</v>
      </c>
      <c r="M11" s="3597">
        <f t="shared" si="2"/>
        <v>444868.79400000005</v>
      </c>
    </row>
    <row r="12" spans="1:13">
      <c r="A12" s="3589"/>
      <c r="B12" s="3590" t="s">
        <v>198</v>
      </c>
      <c r="C12" s="3896">
        <f>'2013-15 PFF Budget Ops Impact'!D12</f>
        <v>-478651.57339999994</v>
      </c>
      <c r="D12" s="3592">
        <f>SUM('Summary of PFF Metrics 2014'!C21:G21)</f>
        <v>228653.33333333363</v>
      </c>
      <c r="E12" s="3593">
        <f>SUM('Summary of PFF Metrics 2014'!H21:J21)</f>
        <v>295342.15666666656</v>
      </c>
      <c r="F12" s="3594">
        <f>SUM('Summary of PFF Metrics 2014'!K21:M21)</f>
        <v>0</v>
      </c>
      <c r="G12" s="3593">
        <f>SUM('Summary of PFF Metrics 2014'!N21:R21)</f>
        <v>452625.00000000006</v>
      </c>
      <c r="H12" s="3593">
        <f>SUM('Summary of PFF Metrics 2014'!S21:U21)</f>
        <v>0</v>
      </c>
      <c r="I12" s="3593">
        <f>SUM('Summary of PFF Metrics 2014'!V21:W21)</f>
        <v>0</v>
      </c>
      <c r="J12" s="3593">
        <f>'Summary of PFF Metrics 2014'!X21</f>
        <v>0</v>
      </c>
      <c r="K12" s="3595">
        <f t="shared" si="0"/>
        <v>976620.49000000022</v>
      </c>
      <c r="L12" s="3596">
        <f t="shared" si="1"/>
        <v>1.4670108326296449E-2</v>
      </c>
      <c r="M12" s="3597">
        <f t="shared" si="2"/>
        <v>497968.91660000029</v>
      </c>
    </row>
    <row r="13" spans="1:13">
      <c r="A13" s="3589"/>
      <c r="B13" s="3590" t="s">
        <v>199</v>
      </c>
      <c r="C13" s="3896">
        <f>'2013-15 PFF Budget Ops Impact'!D13</f>
        <v>-417490.88699999999</v>
      </c>
      <c r="D13" s="3592">
        <f>SUM('Summary of PFF Metrics 2014'!C24:G24)</f>
        <v>0</v>
      </c>
      <c r="E13" s="3593">
        <f>SUM('Summary of PFF Metrics 2014'!H24:J24)</f>
        <v>172435.79333333336</v>
      </c>
      <c r="F13" s="3594">
        <f>SUM('Summary of PFF Metrics 2014'!K24:M24)</f>
        <v>0</v>
      </c>
      <c r="G13" s="3593">
        <f>SUM('Summary of PFF Metrics 2014'!N24:R24)</f>
        <v>239189.99999999988</v>
      </c>
      <c r="H13" s="3593">
        <f>SUM('Summary of PFF Metrics 2014'!S24:U24)</f>
        <v>0</v>
      </c>
      <c r="I13" s="3593">
        <f>SUM('Summary of PFF Metrics 2014'!V24:W24)</f>
        <v>122246.38666666657</v>
      </c>
      <c r="J13" s="3593">
        <f>'Summary of PFF Metrics 2014'!X24</f>
        <v>0</v>
      </c>
      <c r="K13" s="3595">
        <f t="shared" si="0"/>
        <v>533872.17999999982</v>
      </c>
      <c r="L13" s="3596">
        <f t="shared" si="1"/>
        <v>8.0194536088384061E-3</v>
      </c>
      <c r="M13" s="3597">
        <f t="shared" si="2"/>
        <v>116381.29299999983</v>
      </c>
    </row>
    <row r="14" spans="1:13">
      <c r="A14" s="3589"/>
      <c r="B14" s="3590" t="s">
        <v>829</v>
      </c>
      <c r="C14" s="3896">
        <f>'2013-15 PFF Budget Ops Impact'!D14</f>
        <v>-1982280.1591999996</v>
      </c>
      <c r="D14" s="3592">
        <f>SUM('Summary of PFF Metrics 2014'!C27:G27)</f>
        <v>3156975</v>
      </c>
      <c r="E14" s="3593">
        <f>SUM('Summary of PFF Metrics 2014'!H27:J27)</f>
        <v>1403333.8499999999</v>
      </c>
      <c r="F14" s="3594">
        <f>SUM('Summary of PFF Metrics 2014'!K27:M27)</f>
        <v>870866.49416666594</v>
      </c>
      <c r="G14" s="3593">
        <f>SUM('Summary of PFF Metrics 2014'!N27:R27)</f>
        <v>0</v>
      </c>
      <c r="H14" s="3593">
        <f>SUM('Summary of PFF Metrics 2014'!S27:U27)</f>
        <v>0</v>
      </c>
      <c r="I14" s="3593">
        <f>SUM('Summary of PFF Metrics 2014'!V27:W27)</f>
        <v>2070548.1741666663</v>
      </c>
      <c r="J14" s="3593">
        <f>'Summary of PFF Metrics 2014'!X27</f>
        <v>337888.66349999997</v>
      </c>
      <c r="K14" s="3595">
        <f t="shared" si="0"/>
        <v>7839612.1818333315</v>
      </c>
      <c r="L14" s="3596">
        <f t="shared" si="1"/>
        <v>0.1177611581174671</v>
      </c>
      <c r="M14" s="3597">
        <f t="shared" si="2"/>
        <v>5857332.0226333318</v>
      </c>
    </row>
    <row r="15" spans="1:13" ht="14.4" thickBot="1">
      <c r="A15" s="3598"/>
      <c r="B15" s="3599" t="s">
        <v>496</v>
      </c>
      <c r="C15" s="3897">
        <f>'2013-15 PFF Budget Ops Impact'!D15</f>
        <v>0</v>
      </c>
      <c r="D15" s="3601">
        <v>0</v>
      </c>
      <c r="E15" s="3602">
        <v>0</v>
      </c>
      <c r="F15" s="3603">
        <v>0</v>
      </c>
      <c r="G15" s="3602">
        <v>0</v>
      </c>
      <c r="H15" s="3602">
        <v>0</v>
      </c>
      <c r="I15" s="3602">
        <v>0</v>
      </c>
      <c r="J15" s="3602">
        <v>0</v>
      </c>
      <c r="K15" s="3604">
        <f t="shared" si="0"/>
        <v>0</v>
      </c>
      <c r="L15" s="3605">
        <f t="shared" si="1"/>
        <v>0</v>
      </c>
      <c r="M15" s="3606">
        <f t="shared" si="2"/>
        <v>0</v>
      </c>
    </row>
    <row r="16" spans="1:13" s="3562" customFormat="1" ht="14.4" thickTop="1">
      <c r="A16" s="3589" t="s">
        <v>394</v>
      </c>
      <c r="B16" s="3607"/>
      <c r="C16" s="3608">
        <f>SUM(C8:C15)</f>
        <v>-7635470.0466</v>
      </c>
      <c r="D16" s="3608">
        <f>SUM(D8:D15)</f>
        <v>5824164.1666666633</v>
      </c>
      <c r="E16" s="3609">
        <f t="shared" ref="E16:J16" si="3">SUM(E8:E15)</f>
        <v>3424868.3633333333</v>
      </c>
      <c r="F16" s="3610">
        <f t="shared" si="3"/>
        <v>2592980.7666666647</v>
      </c>
      <c r="G16" s="3609">
        <f t="shared" si="3"/>
        <v>1150305</v>
      </c>
      <c r="H16" s="3609">
        <f t="shared" si="3"/>
        <v>0</v>
      </c>
      <c r="I16" s="3609">
        <f t="shared" si="3"/>
        <v>6356812.1066666683</v>
      </c>
      <c r="J16" s="3609">
        <f t="shared" si="3"/>
        <v>1097935.6038149998</v>
      </c>
      <c r="K16" s="3595">
        <f t="shared" si="0"/>
        <v>20447066.007148333</v>
      </c>
      <c r="L16" s="3611">
        <f>K16/$K$35</f>
        <v>0.30714149083622011</v>
      </c>
      <c r="M16" s="3612">
        <f t="shared" si="2"/>
        <v>12811595.960548334</v>
      </c>
    </row>
    <row r="17" spans="1:13">
      <c r="A17" s="3589"/>
      <c r="B17" s="3590"/>
      <c r="C17" s="3591"/>
      <c r="D17" s="3592"/>
      <c r="E17" s="3593"/>
      <c r="F17" s="3594"/>
      <c r="G17" s="3593"/>
      <c r="H17" s="3593"/>
      <c r="I17" s="3593"/>
      <c r="J17" s="3593"/>
      <c r="K17" s="3595"/>
      <c r="L17" s="3596"/>
      <c r="M17" s="3612"/>
    </row>
    <row r="18" spans="1:13">
      <c r="A18" s="3589" t="s">
        <v>395</v>
      </c>
      <c r="B18" s="3590"/>
      <c r="C18" s="3591"/>
      <c r="D18" s="3592"/>
      <c r="E18" s="3593"/>
      <c r="F18" s="3594"/>
      <c r="G18" s="3593"/>
      <c r="H18" s="3593"/>
      <c r="I18" s="3613"/>
      <c r="J18" s="3593"/>
      <c r="K18" s="3595"/>
      <c r="L18" s="3596"/>
      <c r="M18" s="3612"/>
    </row>
    <row r="19" spans="1:13">
      <c r="A19" s="3589"/>
      <c r="B19" s="3590" t="s">
        <v>396</v>
      </c>
      <c r="C19" s="3896">
        <f>'2013-15 PFF Budget Ops Impact'!D18</f>
        <v>-5144553.8276000004</v>
      </c>
      <c r="D19" s="3592">
        <f>SUM('Summary of PFF Metrics 2014'!C34:G34)</f>
        <v>3797464.1666666688</v>
      </c>
      <c r="E19" s="3593">
        <f>SUM('Summary of PFF Metrics 2014'!H34:J34)</f>
        <v>1416174.8133333335</v>
      </c>
      <c r="F19" s="3594">
        <f>SUM('Summary of PFF Metrics 2014'!K34:M34)</f>
        <v>3496746.7079166672</v>
      </c>
      <c r="G19" s="3593">
        <f>SUM('Summary of PFF Metrics 2014'!N34:R34)</f>
        <v>0</v>
      </c>
      <c r="H19" s="3593">
        <f>SUM('Summary of PFF Metrics 2014'!S34:U34)</f>
        <v>0</v>
      </c>
      <c r="I19" s="3593">
        <f>SUM('Summary of PFF Metrics 2014'!V34:W34)</f>
        <v>6295688.9133333303</v>
      </c>
      <c r="J19" s="3593">
        <f>'Summary of PFF Metrics 2014'!X34</f>
        <v>1087371.6044699999</v>
      </c>
      <c r="K19" s="3595">
        <f t="shared" si="0"/>
        <v>16093446.20572</v>
      </c>
      <c r="L19" s="3596">
        <f>K19/$K$35</f>
        <v>0.24174446634980687</v>
      </c>
      <c r="M19" s="3597">
        <f t="shared" ref="M19:M23" si="4">C19+K19</f>
        <v>10948892.37812</v>
      </c>
    </row>
    <row r="20" spans="1:13">
      <c r="A20" s="3589"/>
      <c r="B20" s="3590" t="s">
        <v>397</v>
      </c>
      <c r="C20" s="3896">
        <f>'2013-15 PFF Budget Ops Impact'!D19</f>
        <v>-590588.67339999997</v>
      </c>
      <c r="D20" s="3592">
        <f>SUM('Summary of PFF Metrics 2014'!C37:G37)</f>
        <v>527461.6666666664</v>
      </c>
      <c r="E20" s="3593">
        <f>SUM('Summary of PFF Metrics 2014'!H37:J37)</f>
        <v>462274.68000000011</v>
      </c>
      <c r="F20" s="3594">
        <f>SUM('Summary of PFF Metrics 2014'!K37:M37)</f>
        <v>0</v>
      </c>
      <c r="G20" s="3593">
        <f>SUM('Summary of PFF Metrics 2014'!N37:R37)</f>
        <v>179775</v>
      </c>
      <c r="H20" s="3593">
        <f>SUM('Summary of PFF Metrics 2014'!S37:U37)</f>
        <v>0</v>
      </c>
      <c r="I20" s="3593">
        <f>SUM('Summary of PFF Metrics 2014'!V37:W37)</f>
        <v>359098.7608333333</v>
      </c>
      <c r="J20" s="3593">
        <f>'Summary of PFF Metrics 2014'!X37</f>
        <v>60401.114324999995</v>
      </c>
      <c r="K20" s="3595">
        <f t="shared" si="0"/>
        <v>1589011.2218249997</v>
      </c>
      <c r="L20" s="3596">
        <f>K20/$K$35</f>
        <v>2.386901257403827E-2</v>
      </c>
      <c r="M20" s="3597">
        <f t="shared" si="4"/>
        <v>998422.5484249997</v>
      </c>
    </row>
    <row r="21" spans="1:13">
      <c r="A21" s="3589"/>
      <c r="B21" s="3590" t="s">
        <v>398</v>
      </c>
      <c r="C21" s="3896">
        <f>'2013-15 PFF Budget Ops Impact'!D21</f>
        <v>-287618.93599999999</v>
      </c>
      <c r="D21" s="3592">
        <f>SUM('Summary of PFF Metrics 2014'!C43:G43)</f>
        <v>201370.83333333349</v>
      </c>
      <c r="E21" s="3593">
        <f>SUM('Summary of PFF Metrics 2014'!H43:J43)</f>
        <v>113734.2466666666</v>
      </c>
      <c r="F21" s="3594">
        <f>SUM('Summary of PFF Metrics 2014'!K43:M43)</f>
        <v>0</v>
      </c>
      <c r="G21" s="3593">
        <f>SUM('Summary of PFF Metrics 2014'!N43:R43)</f>
        <v>44114.999999999971</v>
      </c>
      <c r="H21" s="3593">
        <f>SUM('Summary of PFF Metrics 2014'!S43:U43)</f>
        <v>0</v>
      </c>
      <c r="I21" s="3593">
        <f>SUM('Summary of PFF Metrics 2014'!V43:W43)</f>
        <v>259773.57166666666</v>
      </c>
      <c r="J21" s="3593">
        <f>'Summary of PFF Metrics 2014'!X43</f>
        <v>49025.954999999994</v>
      </c>
      <c r="K21" s="3595">
        <f t="shared" si="0"/>
        <v>668019.60666666669</v>
      </c>
      <c r="L21" s="3596">
        <f>K21/$K$35</f>
        <v>1.0034522206153942E-2</v>
      </c>
      <c r="M21" s="3597">
        <f t="shared" si="4"/>
        <v>380400.6706666667</v>
      </c>
    </row>
    <row r="22" spans="1:13" ht="14.4" thickBot="1">
      <c r="A22" s="3598"/>
      <c r="B22" s="3599" t="s">
        <v>272</v>
      </c>
      <c r="C22" s="3897">
        <f>'2013-15 PFF Budget Ops Impact'!D20</f>
        <v>-848387.09559999988</v>
      </c>
      <c r="D22" s="3601">
        <f>SUM('Summary of PFF Metrics 2014'!C40:G40)</f>
        <v>734029.16666666674</v>
      </c>
      <c r="E22" s="3602">
        <f>SUM('Summary of PFF Metrics 2014'!H40:J40)</f>
        <v>542989.30666666653</v>
      </c>
      <c r="F22" s="3603">
        <f>SUM('Summary of PFF Metrics 2014'!K40:M40)</f>
        <v>0</v>
      </c>
      <c r="G22" s="3602">
        <f>SUM('Summary of PFF Metrics 2014'!N40:R40)</f>
        <v>27284.999999999884</v>
      </c>
      <c r="H22" s="3602">
        <f>SUM('Summary of PFF Metrics 2014'!S40:U40)</f>
        <v>0</v>
      </c>
      <c r="I22" s="3602">
        <f>SUM('Summary of PFF Metrics 2014'!V40:W40)</f>
        <v>0</v>
      </c>
      <c r="J22" s="3602">
        <f>'Summary of PFF Metrics 2014'!X40</f>
        <v>0</v>
      </c>
      <c r="K22" s="3604">
        <f t="shared" si="0"/>
        <v>1304303.4733333332</v>
      </c>
      <c r="L22" s="3605">
        <f>K22/$K$35</f>
        <v>1.9592332374845735E-2</v>
      </c>
      <c r="M22" s="3606">
        <f t="shared" si="4"/>
        <v>455916.37773333327</v>
      </c>
    </row>
    <row r="23" spans="1:13" s="3562" customFormat="1" ht="14.4" thickTop="1">
      <c r="A23" s="3589" t="s">
        <v>399</v>
      </c>
      <c r="B23" s="3607"/>
      <c r="C23" s="3608">
        <f>SUM(C19:C22)</f>
        <v>-6871148.5325999996</v>
      </c>
      <c r="D23" s="3608">
        <f>SUM(D19:D22)</f>
        <v>5260325.8333333349</v>
      </c>
      <c r="E23" s="3609">
        <f t="shared" ref="E23:J23" si="5">SUM(E19:E22)</f>
        <v>2535173.0466666669</v>
      </c>
      <c r="F23" s="3610">
        <f t="shared" si="5"/>
        <v>3496746.7079166672</v>
      </c>
      <c r="G23" s="3609">
        <f t="shared" si="5"/>
        <v>251174.99999999985</v>
      </c>
      <c r="H23" s="3609">
        <f t="shared" si="5"/>
        <v>0</v>
      </c>
      <c r="I23" s="3609">
        <f t="shared" si="5"/>
        <v>6914561.2458333299</v>
      </c>
      <c r="J23" s="3609">
        <f t="shared" si="5"/>
        <v>1196798.673795</v>
      </c>
      <c r="K23" s="3595">
        <f t="shared" si="0"/>
        <v>19654780.507544998</v>
      </c>
      <c r="L23" s="3611">
        <f>K23/$K$35</f>
        <v>0.2952403335048448</v>
      </c>
      <c r="M23" s="3612">
        <f t="shared" si="4"/>
        <v>12783631.974944998</v>
      </c>
    </row>
    <row r="24" spans="1:13">
      <c r="A24" s="3589"/>
      <c r="B24" s="3590"/>
      <c r="C24" s="3591"/>
      <c r="D24" s="3592"/>
      <c r="E24" s="3593"/>
      <c r="F24" s="3594"/>
      <c r="G24" s="3593"/>
      <c r="H24" s="3593"/>
      <c r="I24" s="3593"/>
      <c r="J24" s="3593"/>
      <c r="K24" s="3595"/>
      <c r="L24" s="3596"/>
      <c r="M24" s="3612"/>
    </row>
    <row r="25" spans="1:13">
      <c r="A25" s="3589" t="s">
        <v>217</v>
      </c>
      <c r="B25" s="3590"/>
      <c r="C25" s="3591">
        <f>'2013-15 PFF Budget Ops Impact'!D24</f>
        <v>-1488310.6259999999</v>
      </c>
      <c r="D25" s="3592">
        <f>SUM('Summary of PFF Metrics 2014'!C50:G50)</f>
        <v>0</v>
      </c>
      <c r="E25" s="3593">
        <f>SUM('Summary of PFF Metrics 2014'!H50:J50)</f>
        <v>194448.87333333321</v>
      </c>
      <c r="F25" s="3594">
        <f>SUM('Summary of PFF Metrics 2014'!K50:M50)</f>
        <v>0</v>
      </c>
      <c r="G25" s="3593">
        <f>SUM('Summary of PFF Metrics 2014'!N50:R50)</f>
        <v>64004.999999999884</v>
      </c>
      <c r="H25" s="3593">
        <f>SUM('Summary of PFF Metrics 2014'!S50:U50)</f>
        <v>0</v>
      </c>
      <c r="I25" s="3593">
        <f>SUM('Summary of PFF Metrics 2014'!V50:W50)</f>
        <v>573029.9375</v>
      </c>
      <c r="J25" s="3593">
        <f>'Summary of PFF Metrics 2014'!X50</f>
        <v>314574.74594999995</v>
      </c>
      <c r="K25" s="3595">
        <f t="shared" si="0"/>
        <v>1146058.556783333</v>
      </c>
      <c r="L25" s="3596">
        <f>K25/$K$35</f>
        <v>1.721528817841049E-2</v>
      </c>
      <c r="M25" s="3597">
        <f>C25+K25</f>
        <v>-342252.06921666698</v>
      </c>
    </row>
    <row r="26" spans="1:13">
      <c r="A26" s="3589"/>
      <c r="B26" s="3590"/>
      <c r="C26" s="3591"/>
      <c r="D26" s="3592"/>
      <c r="E26" s="3593"/>
      <c r="F26" s="3594"/>
      <c r="G26" s="3593"/>
      <c r="H26" s="3593"/>
      <c r="I26" s="3593"/>
      <c r="J26" s="3593"/>
      <c r="K26" s="3595"/>
      <c r="L26" s="3596"/>
      <c r="M26" s="3597"/>
    </row>
    <row r="27" spans="1:13">
      <c r="A27" s="3589" t="s">
        <v>400</v>
      </c>
      <c r="B27" s="3590"/>
      <c r="C27" s="3591">
        <f>'2013-15 PFF Budget Ops Impact'!D28</f>
        <v>-882408.8459999999</v>
      </c>
      <c r="D27" s="3592">
        <f>SUM('Summary of PFF Metrics 2014'!C58:G58)</f>
        <v>1078957.9166666672</v>
      </c>
      <c r="E27" s="3593">
        <f>SUM('Summary of PFF Metrics 2014'!H58:J58)</f>
        <v>469612.37333333318</v>
      </c>
      <c r="F27" s="3594">
        <f>SUM('Summary of PFF Metrics 2014'!K58:M58)</f>
        <v>0</v>
      </c>
      <c r="G27" s="3593">
        <f>SUM('Summary of PFF Metrics 2014'!N58:R58)</f>
        <v>157335.00000000006</v>
      </c>
      <c r="H27" s="3593">
        <f>SUM('Summary of PFF Metrics 2014'!S58:U58)</f>
        <v>0</v>
      </c>
      <c r="I27" s="3593">
        <f>SUM('Summary of PFF Metrics 2014'!V58:W58)</f>
        <v>1153700.2741666669</v>
      </c>
      <c r="J27" s="3593">
        <f>'Summary of PFF Metrics 2014'!X58</f>
        <v>60164.239499999996</v>
      </c>
      <c r="K27" s="3595">
        <f t="shared" si="0"/>
        <v>2919769.8036666675</v>
      </c>
      <c r="L27" s="3596">
        <f>K27/$K$35</f>
        <v>4.3858735042144485E-2</v>
      </c>
      <c r="M27" s="3597">
        <f>C27+K27</f>
        <v>2037360.9576666676</v>
      </c>
    </row>
    <row r="28" spans="1:13">
      <c r="A28" s="3589"/>
      <c r="B28" s="3590"/>
      <c r="C28" s="3591"/>
      <c r="D28" s="3592"/>
      <c r="E28" s="3593"/>
      <c r="F28" s="3594"/>
      <c r="G28" s="3593"/>
      <c r="H28" s="3593"/>
      <c r="I28" s="3593"/>
      <c r="J28" s="3593"/>
      <c r="K28" s="3595"/>
      <c r="L28" s="3596"/>
      <c r="M28" s="3597"/>
    </row>
    <row r="29" spans="1:13">
      <c r="A29" s="3589" t="s">
        <v>224</v>
      </c>
      <c r="B29" s="3590"/>
      <c r="C29" s="3591">
        <f>'2013-15 PFF Budget Ops Impact'!D26</f>
        <v>-2611906.352</v>
      </c>
      <c r="D29" s="3592">
        <f>SUM('Summary of PFF Metrics 2014'!C54:G54)</f>
        <v>714541.66666666698</v>
      </c>
      <c r="E29" s="3593">
        <f>SUM('Summary of PFF Metrics 2014'!H54:J54)</f>
        <v>403573.13333333354</v>
      </c>
      <c r="F29" s="3594">
        <f>SUM('Summary of PFF Metrics 2014'!K54:M54)</f>
        <v>565865.68291666661</v>
      </c>
      <c r="G29" s="3593">
        <f>SUM('Summary of PFF Metrics 2014'!N54:R54)</f>
        <v>0</v>
      </c>
      <c r="H29" s="3593">
        <f>SUM('Summary of PFF Metrics 2014'!S54:U54)</f>
        <v>0</v>
      </c>
      <c r="I29" s="3593">
        <f>SUM('Summary of PFF Metrics 2014'!V54:W54)</f>
        <v>0</v>
      </c>
      <c r="J29" s="3593">
        <f>'Summary of PFF Metrics 2014'!X54</f>
        <v>178084.52399999998</v>
      </c>
      <c r="K29" s="3595">
        <f t="shared" si="0"/>
        <v>1862065.0069166671</v>
      </c>
      <c r="L29" s="3596">
        <f>K29/$K$35</f>
        <v>2.7970635105222342E-2</v>
      </c>
      <c r="M29" s="3597">
        <f>C29+K29</f>
        <v>-749841.34508333285</v>
      </c>
    </row>
    <row r="30" spans="1:13">
      <c r="A30" s="3589"/>
      <c r="B30" s="3590"/>
      <c r="C30" s="3591"/>
      <c r="D30" s="3592"/>
      <c r="E30" s="3593"/>
      <c r="F30" s="3594"/>
      <c r="G30" s="3593"/>
      <c r="H30" s="3593"/>
      <c r="I30" s="3593"/>
      <c r="J30" s="3593"/>
      <c r="K30" s="3595"/>
      <c r="L30" s="3596"/>
      <c r="M30" s="3597"/>
    </row>
    <row r="31" spans="1:13">
      <c r="A31" s="3589" t="s">
        <v>256</v>
      </c>
      <c r="B31" s="3590"/>
      <c r="C31" s="3591">
        <f>'2013-15 PFF Budget Ops Impact'!D32</f>
        <v>-820652.31599999999</v>
      </c>
      <c r="D31" s="3592">
        <f>SUM('Summary of PFF Metrics 2014'!C66:G66)</f>
        <v>947092.50000000012</v>
      </c>
      <c r="E31" s="3593">
        <f>SUM('Summary of PFF Metrics 2014'!H66:J66)</f>
        <v>421146.90886666661</v>
      </c>
      <c r="F31" s="3594">
        <f>SUM('Summary of PFF Metrics 2014'!K66:M66)</f>
        <v>0</v>
      </c>
      <c r="G31" s="3593">
        <f>SUM('Summary of PFF Metrics 2014'!N66:R66)</f>
        <v>906330.653058036</v>
      </c>
      <c r="H31" s="3593">
        <f>SUM('Summary of PFF Metrics 2014'!S66:U66)</f>
        <v>0</v>
      </c>
      <c r="I31" s="3593">
        <f>SUM('Summary of PFF Metrics 2014'!V66:W66)</f>
        <v>213931.1766666667</v>
      </c>
      <c r="J31" s="3593">
        <f>'Summary of PFF Metrics 2014'!X66</f>
        <v>55953.566999999995</v>
      </c>
      <c r="K31" s="3595">
        <f t="shared" si="0"/>
        <v>2544454.805591369</v>
      </c>
      <c r="L31" s="3596">
        <f>K31/$K$35</f>
        <v>3.8221016261281743E-2</v>
      </c>
      <c r="M31" s="3597">
        <f>C31+K31</f>
        <v>1723802.4895913689</v>
      </c>
    </row>
    <row r="32" spans="1:13">
      <c r="A32" s="3589"/>
      <c r="B32" s="3590"/>
      <c r="C32" s="3591"/>
      <c r="D32" s="3592"/>
      <c r="E32" s="3593"/>
      <c r="F32" s="3594"/>
      <c r="G32" s="3593"/>
      <c r="H32" s="3593"/>
      <c r="I32" s="3593"/>
      <c r="J32" s="3593"/>
      <c r="K32" s="3595"/>
      <c r="L32" s="3596"/>
      <c r="M32" s="3597"/>
    </row>
    <row r="33" spans="1:13" ht="14.4" thickBot="1">
      <c r="A33" s="3614" t="s">
        <v>401</v>
      </c>
      <c r="B33" s="3615"/>
      <c r="C33" s="3616">
        <f>'2013-15 PFF Budget Ops Impact'!D30</f>
        <v>-4101194.7019999996</v>
      </c>
      <c r="D33" s="3592">
        <f>SUM('Summary of PFF Metrics 2014'!C62:G62)</f>
        <v>6146357.4999999972</v>
      </c>
      <c r="E33" s="3593">
        <f>SUM('Summary of PFF Metrics 2014'!H62:J62)</f>
        <v>2543886.5575000006</v>
      </c>
      <c r="F33" s="3594">
        <f>SUM('Summary of PFF Metrics 2014'!K62:M62)</f>
        <v>0</v>
      </c>
      <c r="G33" s="3593">
        <f>SUM('Summary of PFF Metrics 2014'!N62:R62)</f>
        <v>7455685</v>
      </c>
      <c r="H33" s="3593">
        <f>SUM('Summary of PFF Metrics 2014'!S62:U62)</f>
        <v>0</v>
      </c>
      <c r="I33" s="3593">
        <f>SUM('Summary of PFF Metrics 2014'!V62:W62)</f>
        <v>1432574.8437500002</v>
      </c>
      <c r="J33" s="3593">
        <f>'Summary of PFF Metrics 2014'!X62</f>
        <v>419440.36725000001</v>
      </c>
      <c r="K33" s="3620">
        <f t="shared" si="0"/>
        <v>17997944.268499997</v>
      </c>
      <c r="L33" s="3621">
        <f>K33/$K$35</f>
        <v>0.27035250107187614</v>
      </c>
      <c r="M33" s="3597">
        <f>C33+K33</f>
        <v>13896749.566499997</v>
      </c>
    </row>
    <row r="34" spans="1:13" ht="14.4" thickBot="1">
      <c r="A34" s="3622"/>
      <c r="B34" s="3622"/>
      <c r="C34" s="3623"/>
      <c r="D34" s="3624"/>
      <c r="E34" s="3625"/>
      <c r="F34" s="3625"/>
      <c r="G34" s="3625"/>
      <c r="H34" s="3625"/>
      <c r="I34" s="3625"/>
      <c r="J34" s="3625"/>
      <c r="K34" s="3626"/>
      <c r="L34" s="3627"/>
      <c r="M34" s="3628"/>
    </row>
    <row r="35" spans="1:13" s="3562" customFormat="1">
      <c r="B35" s="3629" t="s">
        <v>402</v>
      </c>
      <c r="C35" s="3630">
        <f t="shared" ref="C35:J35" si="6">C16+C23+C27+C29+C31+C33+C25</f>
        <v>-24411091.421199996</v>
      </c>
      <c r="D35" s="3630">
        <f t="shared" si="6"/>
        <v>19971439.583333328</v>
      </c>
      <c r="E35" s="3631">
        <f t="shared" si="6"/>
        <v>9992709.2563666664</v>
      </c>
      <c r="F35" s="3631">
        <f t="shared" si="6"/>
        <v>6655593.1574999979</v>
      </c>
      <c r="G35" s="3631">
        <f t="shared" si="6"/>
        <v>9984835.6530580353</v>
      </c>
      <c r="H35" s="3631">
        <f t="shared" si="6"/>
        <v>0</v>
      </c>
      <c r="I35" s="3631">
        <f t="shared" si="6"/>
        <v>16644609.584583331</v>
      </c>
      <c r="J35" s="3631">
        <f t="shared" si="6"/>
        <v>3322951.7213099995</v>
      </c>
      <c r="K35" s="3632">
        <f>SUM(D35:J35)</f>
        <v>66572138.956151359</v>
      </c>
      <c r="L35" s="3633"/>
      <c r="M35" s="3634">
        <f>M16+M23+M25+M27+M29+M31+M33</f>
        <v>42161047.534951359</v>
      </c>
    </row>
    <row r="36" spans="1:13" ht="14.4" thickBot="1">
      <c r="B36" s="3635" t="s">
        <v>403</v>
      </c>
      <c r="C36" s="3636"/>
      <c r="D36" s="3637">
        <f t="shared" ref="D36:J36" si="7">D35/$K$35</f>
        <v>0.29999696414272925</v>
      </c>
      <c r="E36" s="3638">
        <f t="shared" si="7"/>
        <v>0.15010347291001871</v>
      </c>
      <c r="F36" s="3638">
        <f t="shared" si="7"/>
        <v>9.9975654408277229E-2</v>
      </c>
      <c r="G36" s="3638">
        <f t="shared" si="7"/>
        <v>0.14998520116102448</v>
      </c>
      <c r="H36" s="3638">
        <f t="shared" si="7"/>
        <v>0</v>
      </c>
      <c r="I36" s="3638">
        <f t="shared" si="7"/>
        <v>0.25002365622571521</v>
      </c>
      <c r="J36" s="3638">
        <f t="shared" si="7"/>
        <v>4.9915051152235122E-2</v>
      </c>
      <c r="K36" s="3639">
        <f>SUM(D36:J36)</f>
        <v>1</v>
      </c>
      <c r="L36" s="3640"/>
      <c r="M36" s="3641"/>
    </row>
    <row r="37" spans="1:13" ht="14.4" hidden="1" thickBot="1">
      <c r="B37" s="3642" t="s">
        <v>404</v>
      </c>
      <c r="D37" s="3643">
        <v>0.23499999999999999</v>
      </c>
      <c r="E37" s="3644">
        <v>1</v>
      </c>
      <c r="F37" s="3644">
        <v>1</v>
      </c>
      <c r="G37" s="3644">
        <v>1.05</v>
      </c>
      <c r="H37" s="3644">
        <v>2</v>
      </c>
      <c r="I37" s="3644">
        <v>4</v>
      </c>
      <c r="J37" s="3644">
        <v>0.60499999999999998</v>
      </c>
      <c r="K37" s="3645"/>
    </row>
    <row r="38" spans="1:13" hidden="1">
      <c r="C38" s="3563">
        <v>60840863</v>
      </c>
    </row>
    <row r="39" spans="1:13" hidden="1">
      <c r="C39" s="3563">
        <v>1228799414</v>
      </c>
    </row>
    <row r="40" spans="1:13" hidden="1">
      <c r="C40" s="3646">
        <f>C38/C39</f>
        <v>4.9512444673089663E-2</v>
      </c>
    </row>
    <row r="42" spans="1:13" ht="14.4" thickBot="1">
      <c r="K42" s="3756"/>
    </row>
    <row r="43" spans="1:13" ht="14.4" thickBot="1">
      <c r="A43" s="3562"/>
      <c r="B43" s="3562"/>
      <c r="C43" s="3565" t="s">
        <v>370</v>
      </c>
      <c r="D43" s="3566" t="s">
        <v>498</v>
      </c>
      <c r="E43" s="3567" t="s">
        <v>500</v>
      </c>
      <c r="F43" s="3568" t="s">
        <v>501</v>
      </c>
      <c r="G43" s="3567"/>
      <c r="H43" s="3567"/>
      <c r="I43" s="3567" t="s">
        <v>375</v>
      </c>
      <c r="J43" s="3567" t="s">
        <v>508</v>
      </c>
      <c r="K43" s="3569" t="s">
        <v>378</v>
      </c>
      <c r="L43" s="3570" t="s">
        <v>379</v>
      </c>
    </row>
    <row r="44" spans="1:13">
      <c r="A44" s="4427" t="s">
        <v>511</v>
      </c>
      <c r="B44" s="4428"/>
      <c r="C44" s="3572" t="s">
        <v>381</v>
      </c>
      <c r="D44" s="3573" t="s">
        <v>499</v>
      </c>
      <c r="E44" s="3574" t="s">
        <v>383</v>
      </c>
      <c r="F44" s="3575" t="s">
        <v>499</v>
      </c>
      <c r="G44" s="3574" t="s">
        <v>502</v>
      </c>
      <c r="H44" s="3574" t="s">
        <v>504</v>
      </c>
      <c r="I44" s="3574" t="s">
        <v>506</v>
      </c>
      <c r="J44" s="3574" t="s">
        <v>509</v>
      </c>
      <c r="K44" s="3576" t="s">
        <v>385</v>
      </c>
      <c r="L44" s="3577" t="s">
        <v>385</v>
      </c>
    </row>
    <row r="45" spans="1:13" ht="14.4" thickBot="1">
      <c r="A45" s="4429"/>
      <c r="B45" s="4430"/>
      <c r="C45" s="3572" t="s">
        <v>956</v>
      </c>
      <c r="D45" s="3573" t="s">
        <v>382</v>
      </c>
      <c r="E45" s="3574" t="s">
        <v>382</v>
      </c>
      <c r="F45" s="3575" t="s">
        <v>382</v>
      </c>
      <c r="G45" s="3574" t="s">
        <v>503</v>
      </c>
      <c r="H45" s="3574" t="s">
        <v>505</v>
      </c>
      <c r="I45" s="3574" t="s">
        <v>507</v>
      </c>
      <c r="J45" s="3574" t="s">
        <v>510</v>
      </c>
      <c r="K45" s="3576" t="s">
        <v>391</v>
      </c>
      <c r="L45" s="3579" t="s">
        <v>391</v>
      </c>
    </row>
    <row r="46" spans="1:13">
      <c r="A46" s="3581" t="s">
        <v>393</v>
      </c>
      <c r="B46" s="3582"/>
      <c r="C46" s="3583"/>
      <c r="D46" s="3583"/>
      <c r="E46" s="3584"/>
      <c r="F46" s="3585"/>
      <c r="G46" s="3584"/>
      <c r="H46" s="3584"/>
      <c r="I46" s="3584"/>
      <c r="J46" s="3584"/>
      <c r="K46" s="3586"/>
      <c r="L46" s="3587"/>
    </row>
    <row r="47" spans="1:13">
      <c r="A47" s="3589"/>
      <c r="B47" s="3590" t="s">
        <v>194</v>
      </c>
      <c r="C47" s="3896">
        <f>'2013-15 PFF Budget Ops Impact'!M8</f>
        <v>-3965906.0759999999</v>
      </c>
      <c r="D47" s="3592">
        <f>SUM('Summary of PFF Metrics 2015'!C9:G9)</f>
        <v>1075709.9999999965</v>
      </c>
      <c r="E47" s="3593">
        <f>SUM('Summary of PFF Metrics 2015'!H9:J9)</f>
        <v>854841.27333333343</v>
      </c>
      <c r="F47" s="3594">
        <f>SUM('Summary of PFF Metrics 2015'!K9:M9)</f>
        <v>1722114.272499999</v>
      </c>
      <c r="G47" s="3593">
        <f>SUM('Summary of PFF Metrics 2015'!N9:R9)</f>
        <v>0</v>
      </c>
      <c r="H47" s="3593">
        <f>SUM('Summary of PFF Metrics 2015'!S9:U9)</f>
        <v>0</v>
      </c>
      <c r="I47" s="3593">
        <f>SUM('Summary of PFF Metrics 2015'!V9:W9)</f>
        <v>4164017.5458333353</v>
      </c>
      <c r="J47" s="3593">
        <f>'Summary of PFF Metrics 2015'!X9</f>
        <v>676006.71749999991</v>
      </c>
      <c r="K47" s="3595">
        <f>SUM(D47:J47)</f>
        <v>8492689.8091666643</v>
      </c>
      <c r="L47" s="3596">
        <f>K47/$K$74</f>
        <v>0.12757123238537504</v>
      </c>
    </row>
    <row r="48" spans="1:13">
      <c r="A48" s="3589"/>
      <c r="B48" s="3590" t="s">
        <v>195</v>
      </c>
      <c r="C48" s="3896">
        <f>'2013-15 PFF Budget Ops Impact'!M9</f>
        <v>-183280.2598</v>
      </c>
      <c r="D48" s="3592">
        <f>SUM('Summary of PFF Metrics 2015'!C12:G12)</f>
        <v>439118.33333333343</v>
      </c>
      <c r="E48" s="3593">
        <f>SUM('Summary of PFF Metrics 2015'!H12:J12)</f>
        <v>231137.33999999997</v>
      </c>
      <c r="F48" s="3594">
        <f>SUM('Summary of PFF Metrics 2015'!K12:M12)</f>
        <v>0</v>
      </c>
      <c r="G48" s="3593">
        <f>SUM('Summary of PFF Metrics 2015'!N12:R12)</f>
        <v>139740.00000000003</v>
      </c>
      <c r="H48" s="3593">
        <f>SUM('Summary of PFF Metrics 2015'!S12:U12)</f>
        <v>0</v>
      </c>
      <c r="I48" s="3593">
        <f>SUM('Summary of PFF Metrics 2015'!V12:W12)</f>
        <v>0</v>
      </c>
      <c r="J48" s="3593">
        <f>'Summary of PFF Metrics 2015'!X12</f>
        <v>31240.953374999997</v>
      </c>
      <c r="K48" s="3595">
        <f t="shared" ref="K48:K55" si="8">SUM(D48:J48)</f>
        <v>841236.62670833338</v>
      </c>
      <c r="L48" s="3596">
        <f t="shared" ref="L48:L55" si="9">K48/$K$74</f>
        <v>1.2636466844822655E-2</v>
      </c>
    </row>
    <row r="49" spans="1:12">
      <c r="A49" s="3589"/>
      <c r="B49" s="3590" t="s">
        <v>196</v>
      </c>
      <c r="C49" s="3896">
        <f>'2013-15 PFF Budget Ops Impact'!M10</f>
        <v>-249802.99519999998</v>
      </c>
      <c r="D49" s="3592">
        <f>SUM('Summary of PFF Metrics 2015'!C15:G15)</f>
        <v>645685.83333333337</v>
      </c>
      <c r="E49" s="3593">
        <f>SUM('Summary of PFF Metrics 2015'!H15:J15)</f>
        <v>245812.72666666668</v>
      </c>
      <c r="F49" s="3594">
        <f>SUM('Summary of PFF Metrics 2015'!K15:M15)</f>
        <v>0</v>
      </c>
      <c r="G49" s="3593">
        <f>SUM('Summary of PFF Metrics 2015'!N15:R15)</f>
        <v>15809.999999999993</v>
      </c>
      <c r="H49" s="3593">
        <f>SUM('Summary of PFF Metrics 2015'!S15:U15)</f>
        <v>0</v>
      </c>
      <c r="I49" s="3593">
        <f>SUM('Summary of PFF Metrics 2015'!V15:W15)</f>
        <v>0</v>
      </c>
      <c r="J49" s="3593">
        <f>'Summary of PFF Metrics 2015'!X15</f>
        <v>52799.269439999996</v>
      </c>
      <c r="K49" s="3595">
        <f t="shared" si="8"/>
        <v>960107.82944</v>
      </c>
      <c r="L49" s="3596">
        <f t="shared" si="9"/>
        <v>1.4422066715813173E-2</v>
      </c>
    </row>
    <row r="50" spans="1:12">
      <c r="A50" s="3589"/>
      <c r="B50" s="3590" t="s">
        <v>197</v>
      </c>
      <c r="C50" s="3896">
        <f>'2013-15 PFF Budget Ops Impact'!M11</f>
        <v>-358058.09599999996</v>
      </c>
      <c r="D50" s="3592">
        <f>SUM('Summary of PFF Metrics 2015'!C18:G18)</f>
        <v>278021.66666666651</v>
      </c>
      <c r="E50" s="3593">
        <f>SUM('Summary of PFF Metrics 2015'!H18:J18)</f>
        <v>221965.22333333336</v>
      </c>
      <c r="F50" s="3594">
        <f>SUM('Summary of PFF Metrics 2015'!K18:M18)</f>
        <v>0</v>
      </c>
      <c r="G50" s="3593">
        <f>SUM('Summary of PFF Metrics 2015'!N18:R18)</f>
        <v>302940.00000000012</v>
      </c>
      <c r="H50" s="3593">
        <f>SUM('Summary of PFF Metrics 2015'!S18:U18)</f>
        <v>0</v>
      </c>
      <c r="I50" s="3593">
        <f>SUM('Summary of PFF Metrics 2015'!V18:W18)</f>
        <v>0</v>
      </c>
      <c r="J50" s="3593">
        <f>'Summary of PFF Metrics 2015'!X18</f>
        <v>0</v>
      </c>
      <c r="K50" s="3595">
        <f t="shared" si="8"/>
        <v>802926.89</v>
      </c>
      <c r="L50" s="3596">
        <f t="shared" si="9"/>
        <v>1.2061004837607196E-2</v>
      </c>
    </row>
    <row r="51" spans="1:12">
      <c r="A51" s="3589"/>
      <c r="B51" s="3590" t="s">
        <v>198</v>
      </c>
      <c r="C51" s="3896">
        <f>'2013-15 PFF Budget Ops Impact'!M12</f>
        <v>-478651.57339999994</v>
      </c>
      <c r="D51" s="3592">
        <f>SUM('Summary of PFF Metrics 2015'!C21:G21)</f>
        <v>228653.33333333363</v>
      </c>
      <c r="E51" s="3593">
        <f>SUM('Summary of PFF Metrics 2015'!H21:J21)</f>
        <v>295342.15666666656</v>
      </c>
      <c r="F51" s="3594">
        <f>SUM('Summary of PFF Metrics 2015'!K21:M21)</f>
        <v>0</v>
      </c>
      <c r="G51" s="3593">
        <f>SUM('Summary of PFF Metrics 2015'!N21:R21)</f>
        <v>452625.00000000006</v>
      </c>
      <c r="H51" s="3593">
        <f>SUM('Summary of PFF Metrics 2015'!S21:U21)</f>
        <v>0</v>
      </c>
      <c r="I51" s="3593">
        <f>SUM('Summary of PFF Metrics 2015'!V21:W21)</f>
        <v>0</v>
      </c>
      <c r="J51" s="3593">
        <f>'Summary of PFF Metrics 2015'!X21</f>
        <v>0</v>
      </c>
      <c r="K51" s="3595">
        <f t="shared" si="8"/>
        <v>976620.49000000022</v>
      </c>
      <c r="L51" s="3596">
        <f t="shared" si="9"/>
        <v>1.4670108326296449E-2</v>
      </c>
    </row>
    <row r="52" spans="1:12">
      <c r="A52" s="3589"/>
      <c r="B52" s="3590" t="s">
        <v>199</v>
      </c>
      <c r="C52" s="3896">
        <f>'2013-15 PFF Budget Ops Impact'!M13</f>
        <v>-417490.88699999999</v>
      </c>
      <c r="D52" s="3592">
        <f>SUM('Summary of PFF Metrics 2015'!C24:G24)</f>
        <v>0</v>
      </c>
      <c r="E52" s="3593">
        <f>SUM('Summary of PFF Metrics 2015'!H24:J24)</f>
        <v>172435.79333333336</v>
      </c>
      <c r="F52" s="3594">
        <f>SUM('Summary of PFF Metrics 2015'!K24:M24)</f>
        <v>0</v>
      </c>
      <c r="G52" s="3593">
        <f>SUM('Summary of PFF Metrics 2015'!N24:R24)</f>
        <v>239189.99999999988</v>
      </c>
      <c r="H52" s="3593">
        <f>SUM('Summary of PFF Metrics 2015'!S24:U24)</f>
        <v>0</v>
      </c>
      <c r="I52" s="3593">
        <f>SUM('Summary of PFF Metrics 2015'!V24:W24)</f>
        <v>122246.38666666657</v>
      </c>
      <c r="J52" s="3593">
        <f>'Summary of PFF Metrics 2015'!X24</f>
        <v>0</v>
      </c>
      <c r="K52" s="3595">
        <f t="shared" si="8"/>
        <v>533872.17999999982</v>
      </c>
      <c r="L52" s="3596">
        <f t="shared" si="9"/>
        <v>8.0194536088384061E-3</v>
      </c>
    </row>
    <row r="53" spans="1:12">
      <c r="A53" s="3589"/>
      <c r="B53" s="3590" t="s">
        <v>829</v>
      </c>
      <c r="C53" s="3896">
        <f>'2013-15 PFF Budget Ops Impact'!M14</f>
        <v>-1982280.1591999996</v>
      </c>
      <c r="D53" s="3592">
        <f>SUM('Summary of PFF Metrics 2015'!C27:G27)</f>
        <v>3156975</v>
      </c>
      <c r="E53" s="3593">
        <f>SUM('Summary of PFF Metrics 2015'!H27:J27)</f>
        <v>1403333.8499999999</v>
      </c>
      <c r="F53" s="3594">
        <f>SUM('Summary of PFF Metrics 2015'!K27:M27)</f>
        <v>870866.49416666594</v>
      </c>
      <c r="G53" s="3593">
        <f>SUM('Summary of PFF Metrics 2015'!N27:R27)</f>
        <v>0</v>
      </c>
      <c r="H53" s="3593">
        <f>SUM('Summary of PFF Metrics 2015'!S27:U27)</f>
        <v>0</v>
      </c>
      <c r="I53" s="3593">
        <f>SUM('Summary of PFF Metrics 2015'!V27:W27)</f>
        <v>2070548.1741666663</v>
      </c>
      <c r="J53" s="3593">
        <f>'Summary of PFF Metrics 2015'!X27</f>
        <v>337888.66349999997</v>
      </c>
      <c r="K53" s="3595">
        <f t="shared" si="8"/>
        <v>7839612.1818333315</v>
      </c>
      <c r="L53" s="3596">
        <f t="shared" si="9"/>
        <v>0.1177611581174671</v>
      </c>
    </row>
    <row r="54" spans="1:12" ht="14.4" thickBot="1">
      <c r="A54" s="3598"/>
      <c r="B54" s="3599" t="s">
        <v>496</v>
      </c>
      <c r="C54" s="3897">
        <f>'2013-15 PFF Budget Ops Impact'!D54</f>
        <v>0</v>
      </c>
      <c r="D54" s="3601">
        <v>0</v>
      </c>
      <c r="E54" s="3602">
        <v>0</v>
      </c>
      <c r="F54" s="3603">
        <v>0</v>
      </c>
      <c r="G54" s="3602">
        <v>0</v>
      </c>
      <c r="H54" s="3602">
        <v>0</v>
      </c>
      <c r="I54" s="3602">
        <v>0</v>
      </c>
      <c r="J54" s="3602">
        <v>0</v>
      </c>
      <c r="K54" s="3604">
        <f t="shared" si="8"/>
        <v>0</v>
      </c>
      <c r="L54" s="3605">
        <f t="shared" si="9"/>
        <v>0</v>
      </c>
    </row>
    <row r="55" spans="1:12" ht="14.4" thickTop="1">
      <c r="A55" s="3589" t="s">
        <v>394</v>
      </c>
      <c r="B55" s="3607"/>
      <c r="C55" s="3608">
        <f>SUM(C47:C54)</f>
        <v>-7635470.0466</v>
      </c>
      <c r="D55" s="3608">
        <f>SUM(D47:D54)</f>
        <v>5824164.1666666633</v>
      </c>
      <c r="E55" s="3609">
        <f t="shared" ref="E55:J55" si="10">SUM(E47:E54)</f>
        <v>3424868.3633333333</v>
      </c>
      <c r="F55" s="3610">
        <f t="shared" si="10"/>
        <v>2592980.7666666647</v>
      </c>
      <c r="G55" s="3609">
        <f t="shared" si="10"/>
        <v>1150305</v>
      </c>
      <c r="H55" s="3609">
        <f t="shared" si="10"/>
        <v>0</v>
      </c>
      <c r="I55" s="3609">
        <f t="shared" si="10"/>
        <v>6356812.1066666683</v>
      </c>
      <c r="J55" s="3609">
        <f t="shared" si="10"/>
        <v>1097935.6038149998</v>
      </c>
      <c r="K55" s="3595">
        <f t="shared" si="8"/>
        <v>20447066.007148333</v>
      </c>
      <c r="L55" s="3611">
        <f t="shared" si="9"/>
        <v>0.30714149083622011</v>
      </c>
    </row>
    <row r="56" spans="1:12">
      <c r="A56" s="3589"/>
      <c r="B56" s="3590"/>
      <c r="C56" s="3591"/>
      <c r="D56" s="3592"/>
      <c r="E56" s="3593"/>
      <c r="F56" s="3594"/>
      <c r="G56" s="3593"/>
      <c r="H56" s="3593"/>
      <c r="I56" s="3593"/>
      <c r="J56" s="3593"/>
      <c r="K56" s="3595"/>
      <c r="L56" s="3596"/>
    </row>
    <row r="57" spans="1:12">
      <c r="A57" s="3589" t="s">
        <v>395</v>
      </c>
      <c r="B57" s="3590"/>
      <c r="C57" s="3591"/>
      <c r="D57" s="3592"/>
      <c r="E57" s="3593"/>
      <c r="F57" s="3594"/>
      <c r="G57" s="3593"/>
      <c r="H57" s="3593"/>
      <c r="I57" s="3613"/>
      <c r="J57" s="3593"/>
      <c r="K57" s="3595"/>
      <c r="L57" s="3596"/>
    </row>
    <row r="58" spans="1:12">
      <c r="A58" s="3589"/>
      <c r="B58" s="3590" t="s">
        <v>396</v>
      </c>
      <c r="C58" s="3896">
        <f>'2013-15 PFF Budget Ops Impact'!M18</f>
        <v>-5144553.8276000004</v>
      </c>
      <c r="D58" s="3592">
        <f>SUM('Summary of PFF Metrics 2015'!C34:G34)</f>
        <v>3797464.1666666688</v>
      </c>
      <c r="E58" s="3593">
        <f>SUM('Summary of PFF Metrics 2015'!H34:J34)</f>
        <v>1416174.8133333335</v>
      </c>
      <c r="F58" s="3594">
        <f>SUM('Summary of PFF Metrics 2015'!K34:M34)</f>
        <v>3496746.7079166672</v>
      </c>
      <c r="G58" s="3593">
        <f>SUM('Summary of PFF Metrics 2015'!N34:R34)</f>
        <v>0</v>
      </c>
      <c r="H58" s="3593">
        <f>SUM('Summary of PFF Metrics 2015'!S34:U34)</f>
        <v>0</v>
      </c>
      <c r="I58" s="3593">
        <f>SUM('Summary of PFF Metrics 2015'!V34:W34)</f>
        <v>6295688.9133333303</v>
      </c>
      <c r="J58" s="3593">
        <f>'Summary of PFF Metrics 2015'!X34</f>
        <v>1087371.6044699999</v>
      </c>
      <c r="K58" s="3595">
        <f t="shared" ref="K58:K62" si="11">SUM(D58:J58)</f>
        <v>16093446.20572</v>
      </c>
      <c r="L58" s="3596">
        <f t="shared" ref="L58:L62" si="12">K58/$K$74</f>
        <v>0.24174446634980687</v>
      </c>
    </row>
    <row r="59" spans="1:12">
      <c r="A59" s="3589"/>
      <c r="B59" s="3590" t="s">
        <v>397</v>
      </c>
      <c r="C59" s="3896">
        <f>'2013-15 PFF Budget Ops Impact'!M19</f>
        <v>-590588.67339999997</v>
      </c>
      <c r="D59" s="3592">
        <f>SUM('Summary of PFF Metrics 2015'!C37:G37)</f>
        <v>527461.6666666664</v>
      </c>
      <c r="E59" s="3593">
        <f>SUM('Summary of PFF Metrics 2015'!H37:J37)</f>
        <v>462274.68000000011</v>
      </c>
      <c r="F59" s="3594">
        <f>SUM('Summary of PFF Metrics 2015'!K37:M37)</f>
        <v>0</v>
      </c>
      <c r="G59" s="3593">
        <f>SUM('Summary of PFF Metrics 2015'!N37:R37)</f>
        <v>179775</v>
      </c>
      <c r="H59" s="3593">
        <f>SUM('Summary of PFF Metrics 2015'!S37:U37)</f>
        <v>0</v>
      </c>
      <c r="I59" s="3593">
        <f>SUM('Summary of PFF Metrics 2015'!V37:W37)</f>
        <v>359098.7608333333</v>
      </c>
      <c r="J59" s="3593">
        <f>'Summary of PFF Metrics 2015'!X37</f>
        <v>60401.114324999995</v>
      </c>
      <c r="K59" s="3595">
        <f t="shared" si="11"/>
        <v>1589011.2218249997</v>
      </c>
      <c r="L59" s="3596">
        <f t="shared" si="12"/>
        <v>2.386901257403827E-2</v>
      </c>
    </row>
    <row r="60" spans="1:12">
      <c r="A60" s="3589"/>
      <c r="B60" s="3590" t="s">
        <v>398</v>
      </c>
      <c r="C60" s="3896">
        <f>'2013-15 PFF Budget Ops Impact'!M21</f>
        <v>-287618.93599999999</v>
      </c>
      <c r="D60" s="3592">
        <f>SUM('Summary of PFF Metrics 2015'!C43:G43)</f>
        <v>201370.83333333349</v>
      </c>
      <c r="E60" s="3593">
        <f>SUM('Summary of PFF Metrics 2015'!H43:J43)</f>
        <v>113734.2466666666</v>
      </c>
      <c r="F60" s="3594">
        <f>SUM('Summary of PFF Metrics 2015'!K43:M43)</f>
        <v>0</v>
      </c>
      <c r="G60" s="3593">
        <f>SUM('Summary of PFF Metrics 2015'!N43:R43)</f>
        <v>44114.999999999971</v>
      </c>
      <c r="H60" s="3593">
        <f>SUM('Summary of PFF Metrics 2015'!S43:U43)</f>
        <v>0</v>
      </c>
      <c r="I60" s="3593">
        <f>SUM('Summary of PFF Metrics 2015'!V43:W43)</f>
        <v>259773.57166666666</v>
      </c>
      <c r="J60" s="3593">
        <f>'Summary of PFF Metrics 2015'!X43</f>
        <v>49025.954999999994</v>
      </c>
      <c r="K60" s="3595">
        <f t="shared" si="11"/>
        <v>668019.60666666669</v>
      </c>
      <c r="L60" s="3596">
        <f t="shared" si="12"/>
        <v>1.0034522206153942E-2</v>
      </c>
    </row>
    <row r="61" spans="1:12" ht="14.4" thickBot="1">
      <c r="A61" s="3598"/>
      <c r="B61" s="3599" t="s">
        <v>272</v>
      </c>
      <c r="C61" s="3897">
        <f>'2013-15 PFF Budget Ops Impact'!M20</f>
        <v>-848387.09559999988</v>
      </c>
      <c r="D61" s="3601">
        <f>SUM('Summary of PFF Metrics 2015'!C40:G40)</f>
        <v>734029.16666666674</v>
      </c>
      <c r="E61" s="3602">
        <f>SUM('Summary of PFF Metrics 2015'!H40:J40)</f>
        <v>542989.30666666653</v>
      </c>
      <c r="F61" s="3603">
        <f>SUM('Summary of PFF Metrics 2015'!K40:M40)</f>
        <v>0</v>
      </c>
      <c r="G61" s="3602">
        <f>SUM('Summary of PFF Metrics 2015'!N40:R40)</f>
        <v>27284.999999999884</v>
      </c>
      <c r="H61" s="3602">
        <f>SUM('Summary of PFF Metrics 2015'!S40:U40)</f>
        <v>0</v>
      </c>
      <c r="I61" s="3602">
        <f>SUM('Summary of PFF Metrics 2015'!V40:W40)</f>
        <v>0</v>
      </c>
      <c r="J61" s="3602">
        <f>'Summary of PFF Metrics 2015'!X40</f>
        <v>0</v>
      </c>
      <c r="K61" s="3604">
        <f t="shared" si="11"/>
        <v>1304303.4733333332</v>
      </c>
      <c r="L61" s="3605">
        <f t="shared" si="12"/>
        <v>1.9592332374845735E-2</v>
      </c>
    </row>
    <row r="62" spans="1:12" ht="14.4" thickTop="1">
      <c r="A62" s="3589" t="s">
        <v>399</v>
      </c>
      <c r="B62" s="3607"/>
      <c r="C62" s="3608">
        <f>SUM(C58:C61)</f>
        <v>-6871148.5325999996</v>
      </c>
      <c r="D62" s="3608">
        <f>SUM(D58:D61)</f>
        <v>5260325.8333333349</v>
      </c>
      <c r="E62" s="3609">
        <f t="shared" ref="E62:J62" si="13">SUM(E58:E61)</f>
        <v>2535173.0466666669</v>
      </c>
      <c r="F62" s="3610">
        <f t="shared" si="13"/>
        <v>3496746.7079166672</v>
      </c>
      <c r="G62" s="3609">
        <f t="shared" si="13"/>
        <v>251174.99999999985</v>
      </c>
      <c r="H62" s="3609">
        <f t="shared" si="13"/>
        <v>0</v>
      </c>
      <c r="I62" s="3609">
        <f t="shared" si="13"/>
        <v>6914561.2458333299</v>
      </c>
      <c r="J62" s="3609">
        <f t="shared" si="13"/>
        <v>1196798.673795</v>
      </c>
      <c r="K62" s="3595">
        <f t="shared" si="11"/>
        <v>19654780.507544998</v>
      </c>
      <c r="L62" s="3611">
        <f t="shared" si="12"/>
        <v>0.2952403335048448</v>
      </c>
    </row>
    <row r="63" spans="1:12">
      <c r="A63" s="3589"/>
      <c r="B63" s="3590"/>
      <c r="C63" s="3591"/>
      <c r="D63" s="3592"/>
      <c r="E63" s="3593"/>
      <c r="F63" s="3594"/>
      <c r="G63" s="3593"/>
      <c r="H63" s="3593"/>
      <c r="I63" s="3593"/>
      <c r="J63" s="3593"/>
      <c r="K63" s="3595"/>
      <c r="L63" s="3596"/>
    </row>
    <row r="64" spans="1:12">
      <c r="A64" s="3589" t="s">
        <v>217</v>
      </c>
      <c r="B64" s="3590"/>
      <c r="C64" s="3591">
        <f>'2013-15 PFF Budget Ops Impact'!M24</f>
        <v>-1488310.6259999999</v>
      </c>
      <c r="D64" s="3592">
        <f>SUM('Summary of PFF Metrics 2015'!C50:G50)</f>
        <v>0</v>
      </c>
      <c r="E64" s="3593">
        <f>SUM('Summary of PFF Metrics 2015'!H50:J50)</f>
        <v>194448.87333333321</v>
      </c>
      <c r="F64" s="3594">
        <f>SUM('Summary of PFF Metrics 2015'!K50:M50)</f>
        <v>0</v>
      </c>
      <c r="G64" s="3593">
        <f>SUM('Summary of PFF Metrics 2015'!N50:R50)</f>
        <v>64004.999999999884</v>
      </c>
      <c r="H64" s="3593">
        <f>SUM('Summary of PFF Metrics 2015'!S50:U50)</f>
        <v>0</v>
      </c>
      <c r="I64" s="3593">
        <f>SUM('Summary of PFF Metrics 2015'!V50:W50)</f>
        <v>573029.9375</v>
      </c>
      <c r="J64" s="3593">
        <f>'Summary of PFF Metrics 2015'!X50</f>
        <v>314574.74594999995</v>
      </c>
      <c r="K64" s="3595">
        <f t="shared" ref="K64" si="14">SUM(D64:J64)</f>
        <v>1146058.556783333</v>
      </c>
      <c r="L64" s="3596">
        <f>K64/$K$74</f>
        <v>1.721528817841049E-2</v>
      </c>
    </row>
    <row r="65" spans="1:12">
      <c r="A65" s="3589"/>
      <c r="B65" s="3590"/>
      <c r="C65" s="3591"/>
      <c r="D65" s="3592"/>
      <c r="E65" s="3593"/>
      <c r="F65" s="3594"/>
      <c r="G65" s="3593"/>
      <c r="H65" s="3593"/>
      <c r="I65" s="3593"/>
      <c r="J65" s="3593"/>
      <c r="K65" s="3595"/>
      <c r="L65" s="3596"/>
    </row>
    <row r="66" spans="1:12">
      <c r="A66" s="3589" t="s">
        <v>400</v>
      </c>
      <c r="B66" s="3590"/>
      <c r="C66" s="3591">
        <f>'2013-15 PFF Budget Ops Impact'!M28</f>
        <v>-882408.8459999999</v>
      </c>
      <c r="D66" s="3592">
        <f>SUM('Summary of PFF Metrics 2015'!C58:G58)</f>
        <v>1078957.9166666672</v>
      </c>
      <c r="E66" s="3593">
        <f>SUM('Summary of PFF Metrics 2015'!H58:J58)</f>
        <v>469612.37333333318</v>
      </c>
      <c r="F66" s="3594">
        <f>SUM('Summary of PFF Metrics 2015'!K58:M58)</f>
        <v>0</v>
      </c>
      <c r="G66" s="3593">
        <f>SUM('Summary of PFF Metrics 2015'!N58:R58)</f>
        <v>157335.00000000006</v>
      </c>
      <c r="H66" s="3593">
        <f>SUM('Summary of PFF Metrics 2015'!S58:U58)</f>
        <v>0</v>
      </c>
      <c r="I66" s="3593">
        <f>SUM('Summary of PFF Metrics 2015'!V58:W58)</f>
        <v>1153700.2741666669</v>
      </c>
      <c r="J66" s="3593">
        <f>'Summary of PFF Metrics 2015'!X58</f>
        <v>60164.239499999996</v>
      </c>
      <c r="K66" s="3595">
        <f t="shared" ref="K66" si="15">SUM(D66:J66)</f>
        <v>2919769.8036666675</v>
      </c>
      <c r="L66" s="3596">
        <f>K66/$K$74</f>
        <v>4.3858735042144485E-2</v>
      </c>
    </row>
    <row r="67" spans="1:12">
      <c r="A67" s="3589"/>
      <c r="B67" s="3590"/>
      <c r="C67" s="3591"/>
      <c r="D67" s="3592"/>
      <c r="E67" s="3593"/>
      <c r="F67" s="3594"/>
      <c r="G67" s="3593"/>
      <c r="H67" s="3593"/>
      <c r="I67" s="3593"/>
      <c r="J67" s="3593"/>
      <c r="K67" s="3595"/>
      <c r="L67" s="3596"/>
    </row>
    <row r="68" spans="1:12">
      <c r="A68" s="3589" t="s">
        <v>224</v>
      </c>
      <c r="B68" s="3590"/>
      <c r="C68" s="3591">
        <f>'2013-15 PFF Budget Ops Impact'!M26</f>
        <v>-2611906.352</v>
      </c>
      <c r="D68" s="3592">
        <f>SUM('Summary of PFF Metrics 2015'!C54:G54)</f>
        <v>714541.66666666698</v>
      </c>
      <c r="E68" s="3593">
        <f>SUM('Summary of PFF Metrics 2015'!H54:J54)</f>
        <v>403573.13333333354</v>
      </c>
      <c r="F68" s="3594">
        <f>SUM('Summary of PFF Metrics 2015'!K54:M54)</f>
        <v>565865.68291666661</v>
      </c>
      <c r="G68" s="3593">
        <f>SUM('Summary of PFF Metrics 2015'!N54:R54)</f>
        <v>0</v>
      </c>
      <c r="H68" s="3593">
        <f>SUM('Summary of PFF Metrics 2015'!S54:U54)</f>
        <v>0</v>
      </c>
      <c r="I68" s="3593">
        <f>SUM('Summary of PFF Metrics 2015'!V54:W54)</f>
        <v>0</v>
      </c>
      <c r="J68" s="3593">
        <f>'Summary of PFF Metrics 2015'!X54</f>
        <v>178084.52399999998</v>
      </c>
      <c r="K68" s="3595">
        <f t="shared" ref="K68" si="16">SUM(D68:J68)</f>
        <v>1862065.0069166671</v>
      </c>
      <c r="L68" s="3596">
        <f>K68/$K$74</f>
        <v>2.7970635105222342E-2</v>
      </c>
    </row>
    <row r="69" spans="1:12">
      <c r="A69" s="3589"/>
      <c r="B69" s="3590"/>
      <c r="C69" s="3591"/>
      <c r="D69" s="3592"/>
      <c r="E69" s="3593"/>
      <c r="F69" s="3594"/>
      <c r="G69" s="3593"/>
      <c r="H69" s="3593"/>
      <c r="I69" s="3593"/>
      <c r="J69" s="3593"/>
      <c r="K69" s="3595"/>
      <c r="L69" s="3596"/>
    </row>
    <row r="70" spans="1:12">
      <c r="A70" s="3589" t="s">
        <v>256</v>
      </c>
      <c r="B70" s="3590"/>
      <c r="C70" s="3591">
        <f>'2013-15 PFF Budget Ops Impact'!M32</f>
        <v>-820652.31599999999</v>
      </c>
      <c r="D70" s="3592">
        <f>SUM('Summary of PFF Metrics 2015'!C66:G66)</f>
        <v>947092.50000000012</v>
      </c>
      <c r="E70" s="3593">
        <f>SUM('Summary of PFF Metrics 2015'!H66:J66)</f>
        <v>421146.90886666661</v>
      </c>
      <c r="F70" s="3594">
        <f>SUM('Summary of PFF Metrics 2015'!K66:M66)</f>
        <v>0</v>
      </c>
      <c r="G70" s="3593">
        <f>SUM('Summary of PFF Metrics 2015'!N66:R66)</f>
        <v>906330.653058036</v>
      </c>
      <c r="H70" s="3593">
        <f>SUM('Summary of PFF Metrics 2015'!S66:U66)</f>
        <v>0</v>
      </c>
      <c r="I70" s="3593">
        <f>SUM('Summary of PFF Metrics 2015'!V66:W66)</f>
        <v>213931.1766666667</v>
      </c>
      <c r="J70" s="3593">
        <f>'Summary of PFF Metrics 2015'!X66</f>
        <v>55953.566999999995</v>
      </c>
      <c r="K70" s="3595">
        <f t="shared" ref="K70" si="17">SUM(D70:J70)</f>
        <v>2544454.805591369</v>
      </c>
      <c r="L70" s="3596">
        <f>K70/$K$74</f>
        <v>3.8221016261281743E-2</v>
      </c>
    </row>
    <row r="71" spans="1:12">
      <c r="A71" s="3589"/>
      <c r="B71" s="3590"/>
      <c r="C71" s="3591"/>
      <c r="D71" s="3592"/>
      <c r="E71" s="3593"/>
      <c r="F71" s="3594"/>
      <c r="G71" s="3593"/>
      <c r="H71" s="3593"/>
      <c r="I71" s="3593"/>
      <c r="J71" s="3593"/>
      <c r="K71" s="3595"/>
      <c r="L71" s="3596"/>
    </row>
    <row r="72" spans="1:12" ht="14.4" thickBot="1">
      <c r="A72" s="3614" t="s">
        <v>401</v>
      </c>
      <c r="B72" s="3615"/>
      <c r="C72" s="3616">
        <f>'2013-15 PFF Budget Ops Impact'!M30</f>
        <v>-4101194.7019999996</v>
      </c>
      <c r="D72" s="3592">
        <f>SUM('Summary of PFF Metrics 2015'!C62:G62)</f>
        <v>6146357.4999999972</v>
      </c>
      <c r="E72" s="3593">
        <f>SUM('Summary of PFF Metrics 2015'!H62:J62)</f>
        <v>2543886.5575000006</v>
      </c>
      <c r="F72" s="3594">
        <f>SUM('Summary of PFF Metrics 2015'!K62:M62)</f>
        <v>0</v>
      </c>
      <c r="G72" s="3593">
        <f>SUM('Summary of PFF Metrics 2015'!N62:R62)</f>
        <v>7455685</v>
      </c>
      <c r="H72" s="3593">
        <f>SUM('Summary of PFF Metrics 2015'!S62:U62)</f>
        <v>0</v>
      </c>
      <c r="I72" s="3593">
        <f>SUM('Summary of PFF Metrics 2015'!V62:W62)</f>
        <v>1432574.8437500002</v>
      </c>
      <c r="J72" s="3593">
        <f>'Summary of PFF Metrics 2015'!X62</f>
        <v>419440.36725000001</v>
      </c>
      <c r="K72" s="3620">
        <f t="shared" ref="K72" si="18">SUM(D72:J72)</f>
        <v>17997944.268499997</v>
      </c>
      <c r="L72" s="3621">
        <f>K72/$K$74</f>
        <v>0.27035250107187614</v>
      </c>
    </row>
    <row r="73" spans="1:12" ht="14.4" thickBot="1">
      <c r="A73" s="3622"/>
      <c r="B73" s="3622"/>
      <c r="C73" s="3623"/>
      <c r="D73" s="3624"/>
      <c r="E73" s="3625"/>
      <c r="F73" s="3625"/>
      <c r="G73" s="3625"/>
      <c r="H73" s="3625"/>
      <c r="I73" s="3625"/>
      <c r="J73" s="3625"/>
      <c r="K73" s="3626"/>
      <c r="L73" s="3627"/>
    </row>
    <row r="74" spans="1:12">
      <c r="A74" s="3562"/>
      <c r="B74" s="3629" t="s">
        <v>402</v>
      </c>
      <c r="C74" s="3630">
        <f>C55+C62+C66+C68+C70+C72+C64</f>
        <v>-24411091.421199996</v>
      </c>
      <c r="D74" s="3630">
        <f t="shared" ref="D74:J74" si="19">D55+D62+D66+D68+D70+D72+D64</f>
        <v>19971439.583333328</v>
      </c>
      <c r="E74" s="3631">
        <f t="shared" si="19"/>
        <v>9992709.2563666664</v>
      </c>
      <c r="F74" s="3631">
        <f t="shared" si="19"/>
        <v>6655593.1574999979</v>
      </c>
      <c r="G74" s="3631">
        <f t="shared" si="19"/>
        <v>9984835.6530580353</v>
      </c>
      <c r="H74" s="3631">
        <f t="shared" si="19"/>
        <v>0</v>
      </c>
      <c r="I74" s="3631">
        <f t="shared" si="19"/>
        <v>16644609.584583331</v>
      </c>
      <c r="J74" s="3631">
        <f t="shared" si="19"/>
        <v>3322951.7213099995</v>
      </c>
      <c r="K74" s="3632">
        <f>SUM(D74:J74)</f>
        <v>66572138.956151359</v>
      </c>
      <c r="L74" s="3633"/>
    </row>
    <row r="75" spans="1:12" ht="14.4" thickBot="1">
      <c r="B75" s="3635" t="s">
        <v>403</v>
      </c>
      <c r="C75" s="3636"/>
      <c r="D75" s="3637">
        <f>D74/$K$74</f>
        <v>0.29999696414272925</v>
      </c>
      <c r="E75" s="3638">
        <f t="shared" ref="E75:J75" si="20">E74/$K$74</f>
        <v>0.15010347291001871</v>
      </c>
      <c r="F75" s="3638">
        <f t="shared" si="20"/>
        <v>9.9975654408277229E-2</v>
      </c>
      <c r="G75" s="3638">
        <f t="shared" si="20"/>
        <v>0.14998520116102448</v>
      </c>
      <c r="H75" s="3638">
        <f t="shared" si="20"/>
        <v>0</v>
      </c>
      <c r="I75" s="3638">
        <f t="shared" si="20"/>
        <v>0.25002365622571521</v>
      </c>
      <c r="J75" s="3638">
        <f t="shared" si="20"/>
        <v>4.9915051152235122E-2</v>
      </c>
      <c r="K75" s="3639">
        <f>SUM(D75:J75)</f>
        <v>1</v>
      </c>
      <c r="L75" s="3640"/>
    </row>
  </sheetData>
  <mergeCells count="2">
    <mergeCell ref="A5:B6"/>
    <mergeCell ref="A44:B45"/>
  </mergeCells>
  <pageMargins left="0.55000000000000004" right="0.11" top="0.75" bottom="0.75" header="0.3" footer="0.3"/>
  <pageSetup scale="86" fitToHeight="2" orientation="landscape" r:id="rId1"/>
  <headerFooter>
    <oddFooter>&amp;LHouse Ways and Means Cmte Amendment 1001 2-14-13&amp;C2013-15 PFF Allocation&amp;R&amp;D</oddFooter>
  </headerFooter>
  <rowBreaks count="1" manualBreakCount="1">
    <brk id="4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zoomScale="70" zoomScaleNormal="70" workbookViewId="0">
      <selection activeCell="A3" sqref="A3"/>
    </sheetView>
  </sheetViews>
  <sheetFormatPr defaultColWidth="9.109375" defaultRowHeight="13.8"/>
  <cols>
    <col min="1" max="1" width="9.109375" style="3265"/>
    <col min="2" max="2" width="29.5546875" style="3265" bestFit="1" customWidth="1"/>
    <col min="3" max="3" width="11.109375" style="3302" bestFit="1" customWidth="1"/>
    <col min="4" max="4" width="13" style="3302" bestFit="1" customWidth="1"/>
    <col min="5" max="5" width="13.44140625" style="3302" bestFit="1" customWidth="1"/>
    <col min="6" max="6" width="12.109375" style="3302" bestFit="1" customWidth="1"/>
    <col min="7" max="7" width="11" style="3302" bestFit="1" customWidth="1"/>
    <col min="8" max="8" width="11.109375" style="3302" bestFit="1" customWidth="1"/>
    <col min="9" max="10" width="13" style="3302" bestFit="1" customWidth="1"/>
    <col min="11" max="11" width="13" style="3303" bestFit="1" customWidth="1"/>
    <col min="12" max="12" width="12.5546875" style="3303" bestFit="1" customWidth="1"/>
    <col min="13" max="13" width="10.33203125" style="3303" bestFit="1" customWidth="1"/>
    <col min="14" max="14" width="13" style="3303" bestFit="1" customWidth="1"/>
    <col min="15" max="15" width="13.88671875" style="3303" bestFit="1" customWidth="1"/>
    <col min="16" max="16" width="14.44140625" style="3303" bestFit="1" customWidth="1"/>
    <col min="17" max="17" width="12.5546875" style="3303" bestFit="1" customWidth="1"/>
    <col min="18" max="18" width="11.109375" style="3303" bestFit="1" customWidth="1"/>
    <col min="19" max="19" width="7.33203125" style="3303" bestFit="1" customWidth="1"/>
    <col min="20" max="20" width="9.109375" style="3303" bestFit="1" customWidth="1"/>
    <col min="21" max="21" width="16.88671875" style="3303" bestFit="1" customWidth="1"/>
    <col min="22" max="22" width="12.5546875" style="3295" bestFit="1" customWidth="1"/>
    <col min="23" max="23" width="13.44140625" style="3295" bestFit="1" customWidth="1"/>
    <col min="24" max="24" width="22.33203125" style="3295" bestFit="1" customWidth="1"/>
    <col min="25" max="25" width="14.44140625" style="3304" bestFit="1" customWidth="1"/>
    <col min="26" max="26" width="9.109375" style="3265"/>
    <col min="27" max="27" width="9.88671875" style="3261" bestFit="1" customWidth="1"/>
    <col min="28" max="28" width="16.109375" style="3399" bestFit="1" customWidth="1"/>
    <col min="29" max="29" width="16" style="3399" bestFit="1" customWidth="1"/>
    <col min="30" max="30" width="19.5546875" style="3399" bestFit="1" customWidth="1"/>
    <col min="31" max="31" width="12.44140625" style="3399" customWidth="1"/>
    <col min="32" max="32" width="14.109375" style="3399" bestFit="1" customWidth="1"/>
    <col min="33" max="33" width="12.6640625" style="3399" customWidth="1"/>
    <col min="34" max="34" width="12.109375" style="3399" customWidth="1"/>
    <col min="35" max="16384" width="9.109375" style="3265"/>
  </cols>
  <sheetData>
    <row r="1" spans="1:34">
      <c r="A1" s="3301" t="s">
        <v>306</v>
      </c>
    </row>
    <row r="2" spans="1:34">
      <c r="A2" s="3305" t="s">
        <v>308</v>
      </c>
    </row>
    <row r="3" spans="1:34" ht="15.6">
      <c r="A3" s="4417" t="s">
        <v>970</v>
      </c>
      <c r="B3" s="4417"/>
      <c r="C3" s="4417"/>
      <c r="D3" s="4417"/>
    </row>
    <row r="4" spans="1:34" ht="14.4" thickBot="1"/>
    <row r="5" spans="1:34" s="3306" customFormat="1" ht="47.25" customHeight="1" thickBot="1">
      <c r="B5" s="4431" t="s">
        <v>321</v>
      </c>
      <c r="C5" s="4467" t="s">
        <v>291</v>
      </c>
      <c r="D5" s="4468"/>
      <c r="E5" s="4468"/>
      <c r="F5" s="4468"/>
      <c r="G5" s="4469"/>
      <c r="H5" s="4470" t="s">
        <v>290</v>
      </c>
      <c r="I5" s="4471"/>
      <c r="J5" s="4472"/>
      <c r="K5" s="4443" t="s">
        <v>292</v>
      </c>
      <c r="L5" s="4444"/>
      <c r="M5" s="4445"/>
      <c r="N5" s="4446" t="s">
        <v>307</v>
      </c>
      <c r="O5" s="4447"/>
      <c r="P5" s="4447"/>
      <c r="Q5" s="4447"/>
      <c r="R5" s="4448"/>
      <c r="S5" s="4449" t="s">
        <v>296</v>
      </c>
      <c r="T5" s="4450"/>
      <c r="U5" s="4451"/>
      <c r="V5" s="4475" t="s">
        <v>300</v>
      </c>
      <c r="W5" s="4476"/>
      <c r="X5" s="3307" t="s">
        <v>303</v>
      </c>
      <c r="Y5" s="3308" t="s">
        <v>319</v>
      </c>
      <c r="AB5" s="3769" t="s">
        <v>291</v>
      </c>
      <c r="AC5" s="3770" t="s">
        <v>290</v>
      </c>
      <c r="AD5" s="3771" t="s">
        <v>292</v>
      </c>
      <c r="AE5" s="3772" t="s">
        <v>307</v>
      </c>
      <c r="AF5" s="3773" t="s">
        <v>296</v>
      </c>
      <c r="AG5" s="3774" t="s">
        <v>300</v>
      </c>
      <c r="AH5" s="3775" t="s">
        <v>303</v>
      </c>
    </row>
    <row r="6" spans="1:34" s="3309" customFormat="1" ht="16.2" thickBot="1">
      <c r="B6" s="4432"/>
      <c r="C6" s="3310" t="s">
        <v>282</v>
      </c>
      <c r="D6" s="3311" t="s">
        <v>283</v>
      </c>
      <c r="E6" s="3312" t="s">
        <v>284</v>
      </c>
      <c r="F6" s="3312" t="s">
        <v>285</v>
      </c>
      <c r="G6" s="3313" t="s">
        <v>286</v>
      </c>
      <c r="H6" s="3314" t="s">
        <v>282</v>
      </c>
      <c r="I6" s="3315" t="s">
        <v>283</v>
      </c>
      <c r="J6" s="3316" t="s">
        <v>284</v>
      </c>
      <c r="K6" s="3317" t="s">
        <v>284</v>
      </c>
      <c r="L6" s="3318" t="s">
        <v>285</v>
      </c>
      <c r="M6" s="3319" t="s">
        <v>286</v>
      </c>
      <c r="N6" s="3320" t="s">
        <v>293</v>
      </c>
      <c r="O6" s="3321" t="s">
        <v>333</v>
      </c>
      <c r="P6" s="3321" t="s">
        <v>334</v>
      </c>
      <c r="Q6" s="3321" t="s">
        <v>294</v>
      </c>
      <c r="R6" s="3322" t="s">
        <v>323</v>
      </c>
      <c r="S6" s="3323" t="s">
        <v>297</v>
      </c>
      <c r="T6" s="3324" t="s">
        <v>298</v>
      </c>
      <c r="U6" s="3325" t="s">
        <v>299</v>
      </c>
      <c r="V6" s="3326" t="s">
        <v>301</v>
      </c>
      <c r="W6" s="3327" t="s">
        <v>302</v>
      </c>
      <c r="X6" s="3328" t="s">
        <v>304</v>
      </c>
      <c r="Y6" s="3329" t="s">
        <v>320</v>
      </c>
      <c r="AA6" s="3776"/>
      <c r="AB6" s="3777"/>
      <c r="AC6" s="3778"/>
      <c r="AD6" s="3778"/>
      <c r="AE6" s="3778"/>
      <c r="AF6" s="3778"/>
      <c r="AG6" s="3778"/>
      <c r="AH6" s="3779"/>
    </row>
    <row r="7" spans="1:34">
      <c r="B7" s="3261" t="s">
        <v>263</v>
      </c>
      <c r="C7" s="3330"/>
      <c r="D7" s="3331"/>
      <c r="E7" s="3332"/>
      <c r="F7" s="3332"/>
      <c r="G7" s="3333"/>
      <c r="H7" s="3330"/>
      <c r="I7" s="3332"/>
      <c r="J7" s="3334"/>
      <c r="K7" s="3330"/>
      <c r="L7" s="3332"/>
      <c r="M7" s="3334"/>
      <c r="N7" s="3330"/>
      <c r="O7" s="3332"/>
      <c r="P7" s="3332"/>
      <c r="Q7" s="3332"/>
      <c r="R7" s="3334"/>
      <c r="S7" s="3330"/>
      <c r="T7" s="3332"/>
      <c r="U7" s="3334"/>
      <c r="V7" s="3335"/>
      <c r="W7" s="3336"/>
      <c r="X7" s="3337"/>
      <c r="Y7" s="3338"/>
      <c r="AA7" s="3432"/>
      <c r="AB7" s="3491"/>
      <c r="AC7" s="3780"/>
      <c r="AD7" s="3780"/>
      <c r="AE7" s="3780"/>
      <c r="AF7" s="3780"/>
      <c r="AG7" s="3780"/>
      <c r="AH7" s="3781"/>
    </row>
    <row r="8" spans="1:34" s="3295" customFormat="1">
      <c r="B8" s="3339" t="s">
        <v>280</v>
      </c>
      <c r="C8" s="3340"/>
      <c r="D8" s="3341"/>
      <c r="E8" s="3342">
        <f>IF('Overall Degree Completion PMS I'!$R23&gt;0,'Overall Degree Completion PMS I'!$R23,0)</f>
        <v>125.99999999999955</v>
      </c>
      <c r="F8" s="3342">
        <f>IF('Overall Degree Completion PMS I'!$R25&gt;0,'Overall Degree Completion PMS I'!$R25,0)</f>
        <v>24</v>
      </c>
      <c r="G8" s="3343">
        <f>IF('Overall Degree Completion PMS I'!$R27&gt;0,'Overall Degree Completion PMS I'!$R27,0)</f>
        <v>0</v>
      </c>
      <c r="H8" s="3340"/>
      <c r="I8" s="3342"/>
      <c r="J8" s="3344">
        <f>IF('At-Risk Student Degree PMS II'!$R19&gt;0,'At-Risk Student Degree PMS II'!$R19,0)</f>
        <v>155.33333333333337</v>
      </c>
      <c r="K8" s="3340">
        <f>IF('High Impact Degree PMS III'!$R15&gt;0,'High Impact Degree PMS III'!$R15,0)</f>
        <v>74.999999999999943</v>
      </c>
      <c r="L8" s="3342">
        <f>IF('High Impact Degree PMS III'!$R17&gt;0,'High Impact Degree PMS III'!$R17,0)</f>
        <v>14.333333333333336</v>
      </c>
      <c r="M8" s="3344">
        <f>IF('High Impact Degree PMS III'!$R19&gt;0,'High Impact Degree PMS III'!$R19,0)</f>
        <v>8.6666666666666661</v>
      </c>
      <c r="N8" s="3340"/>
      <c r="O8" s="3342"/>
      <c r="P8" s="3342"/>
      <c r="Q8" s="3342"/>
      <c r="R8" s="3344"/>
      <c r="S8" s="3340"/>
      <c r="T8" s="3342"/>
      <c r="U8" s="3344"/>
      <c r="V8" s="3302"/>
      <c r="W8" s="3344">
        <f>IF('On-time Graduation Rate PMS VI'!$R25&gt;0,'On-time Graduation Rate PMS VI'!$R25,0)</f>
        <v>181.66666666666674</v>
      </c>
      <c r="X8" s="3345" t="str">
        <f>'Institutional Eff PMS VII'!X8</f>
        <v>SIG/MOD</v>
      </c>
      <c r="Y8" s="3346">
        <f>Y9/$Y$69</f>
        <v>0.12757123238537504</v>
      </c>
      <c r="AA8" s="3396"/>
      <c r="AB8" s="3491"/>
      <c r="AC8" s="3780"/>
      <c r="AD8" s="3780"/>
      <c r="AE8" s="3780"/>
      <c r="AF8" s="3780"/>
      <c r="AG8" s="3780"/>
      <c r="AH8" s="3781"/>
    </row>
    <row r="9" spans="1:34" ht="14.4" thickBot="1">
      <c r="B9" s="3347" t="s">
        <v>281</v>
      </c>
      <c r="C9" s="3348"/>
      <c r="D9" s="3349"/>
      <c r="E9" s="3350">
        <f>VLOOKUP(E$6,'Weighting and Rates PFF'!$B$30:$C$34,2,0)*E8</f>
        <v>982169.99999999651</v>
      </c>
      <c r="F9" s="3350">
        <f>VLOOKUP(F$6,'Weighting and Rates PFF'!$B$30:$C$34,2,0)*F8</f>
        <v>93540</v>
      </c>
      <c r="G9" s="3351">
        <f>VLOOKUP(G$6,'Weighting and Rates PFF'!$B$30:$C$34,2,0)*G8</f>
        <v>0</v>
      </c>
      <c r="H9" s="3348"/>
      <c r="I9" s="3350"/>
      <c r="J9" s="3352">
        <f>VLOOKUP(J$6,'Weighting and Rates PFF'!$B$36:$C$38,2,0)*J8</f>
        <v>854841.27333333343</v>
      </c>
      <c r="K9" s="3353">
        <f>VLOOKUP(K$6,'Weighting and Rates PFF'!$B$40:$C$42,2,0)*K8</f>
        <v>1461854.8124999991</v>
      </c>
      <c r="L9" s="3354">
        <f>VLOOKUP(L$6,'Weighting and Rates PFF'!$B$40:$C$42,2,0)*L8</f>
        <v>201138.93208333335</v>
      </c>
      <c r="M9" s="3355">
        <f>VLOOKUP(M$6,'Weighting and Rates PFF'!$B$40:$C$42,2,0)*M8</f>
        <v>59120.527916666666</v>
      </c>
      <c r="N9" s="3348"/>
      <c r="O9" s="3350"/>
      <c r="P9" s="3350"/>
      <c r="Q9" s="3350"/>
      <c r="R9" s="3352"/>
      <c r="S9" s="3348"/>
      <c r="T9" s="3350"/>
      <c r="U9" s="3352"/>
      <c r="V9" s="3356"/>
      <c r="W9" s="3357">
        <f>IF(W8&gt;0,W8*'Weighting and Rates PFF'!$C$55,0)</f>
        <v>4164017.5458333353</v>
      </c>
      <c r="X9" s="3358">
        <f>'Weighting and Rates PFF'!F57</f>
        <v>676006.71749999991</v>
      </c>
      <c r="Y9" s="3359">
        <f>SUM(C9:X9)</f>
        <v>8492689.8091666643</v>
      </c>
      <c r="AA9" s="3500" t="str">
        <f>B7</f>
        <v>IUB</v>
      </c>
      <c r="AB9" s="3782">
        <f>(C9+D9+E9+F9+G9)/$Y9</f>
        <v>0.1266630507143825</v>
      </c>
      <c r="AC9" s="3783">
        <f>(H9+I9+J9)/$Y9</f>
        <v>0.10065612809862107</v>
      </c>
      <c r="AD9" s="3784">
        <f>(K9+L9+M9)/$Y9</f>
        <v>0.20277607109130713</v>
      </c>
      <c r="AE9" s="3783">
        <f>SUM(N9:R9)/$Y9</f>
        <v>0</v>
      </c>
      <c r="AF9" s="3783">
        <f>SUM(S9:U9)/$Y9</f>
        <v>0</v>
      </c>
      <c r="AG9" s="3784">
        <f>SUM(V9:W9)/$Y9</f>
        <v>0.49030609140332243</v>
      </c>
      <c r="AH9" s="3785">
        <f>X9/$Y9</f>
        <v>7.9598658692366903E-2</v>
      </c>
    </row>
    <row r="10" spans="1:34">
      <c r="B10" s="3261" t="s">
        <v>265</v>
      </c>
      <c r="C10" s="3340"/>
      <c r="D10" s="3341"/>
      <c r="E10" s="3342"/>
      <c r="F10" s="3342"/>
      <c r="G10" s="3343"/>
      <c r="H10" s="3340"/>
      <c r="I10" s="3342"/>
      <c r="J10" s="3344"/>
      <c r="K10" s="3340"/>
      <c r="L10" s="3342"/>
      <c r="M10" s="3344"/>
      <c r="N10" s="3340"/>
      <c r="O10" s="3342"/>
      <c r="P10" s="3342"/>
      <c r="Q10" s="3342"/>
      <c r="R10" s="3344"/>
      <c r="S10" s="3340"/>
      <c r="T10" s="3342"/>
      <c r="U10" s="3344"/>
      <c r="V10" s="3360"/>
      <c r="W10" s="3361"/>
      <c r="X10" s="3345"/>
      <c r="Y10" s="3338"/>
      <c r="AA10" s="3786"/>
      <c r="AB10" s="3481"/>
      <c r="AC10" s="3787"/>
      <c r="AD10" s="3787"/>
      <c r="AE10" s="3787"/>
      <c r="AF10" s="3787"/>
      <c r="AG10" s="3787"/>
      <c r="AH10" s="3788"/>
    </row>
    <row r="11" spans="1:34" s="3295" customFormat="1">
      <c r="B11" s="3339" t="s">
        <v>280</v>
      </c>
      <c r="C11" s="3340"/>
      <c r="D11" s="3341"/>
      <c r="E11" s="3342">
        <f>IF('Overall Degree Completion PMS I'!$R35&gt;0,'Overall Degree Completion PMS I'!$R35,0)</f>
        <v>50.333333333333343</v>
      </c>
      <c r="F11" s="3342">
        <f>IF('Overall Degree Completion PMS I'!$R37&gt;0,'Overall Degree Completion PMS I'!$R37,0)</f>
        <v>12</v>
      </c>
      <c r="G11" s="3343">
        <f>IF('Overall Degree Completion PMS I'!$R39&gt;0,'Overall Degree Completion PMS I'!$R39,0)</f>
        <v>0</v>
      </c>
      <c r="H11" s="3340"/>
      <c r="I11" s="3342"/>
      <c r="J11" s="3344">
        <f>IF('At-Risk Student Degree PMS II'!$R27&gt;0,'At-Risk Student Degree PMS II'!$R27,0)</f>
        <v>42</v>
      </c>
      <c r="K11" s="3340"/>
      <c r="L11" s="3342"/>
      <c r="M11" s="3344"/>
      <c r="N11" s="3362"/>
      <c r="O11" s="3342"/>
      <c r="P11" s="3342">
        <f>IF('Student Persistence PMS IV'!$R24&gt;0,'Student Persistence PMS IV'!$R24,0)</f>
        <v>42.666666666666657</v>
      </c>
      <c r="Q11" s="3342"/>
      <c r="R11" s="3344">
        <f>IF('Student Persistence PMS IV'!$R25&gt;0,'Student Persistence PMS IV'!$R25,0)</f>
        <v>70.000000000000028</v>
      </c>
      <c r="S11" s="3340"/>
      <c r="T11" s="3342"/>
      <c r="U11" s="3344"/>
      <c r="V11" s="3363"/>
      <c r="W11" s="3344">
        <f>IF('On-time Graduation Rate PMS VI'!$R36&gt;0,'On-time Graduation Rate PMS VI'!$R36,0)</f>
        <v>0</v>
      </c>
      <c r="X11" s="3345" t="str">
        <f>'Institutional Eff PMS VII'!X9</f>
        <v>SIG/MOD</v>
      </c>
      <c r="Y11" s="3346">
        <f>Y12/$Y$69</f>
        <v>1.2636466844822655E-2</v>
      </c>
      <c r="AA11" s="3396"/>
      <c r="AB11" s="3491"/>
      <c r="AC11" s="3780"/>
      <c r="AD11" s="3780"/>
      <c r="AE11" s="3780"/>
      <c r="AF11" s="3780"/>
      <c r="AG11" s="3780"/>
      <c r="AH11" s="3781"/>
    </row>
    <row r="12" spans="1:34" ht="14.4" thickBot="1">
      <c r="B12" s="3347" t="s">
        <v>281</v>
      </c>
      <c r="C12" s="3348"/>
      <c r="D12" s="3349"/>
      <c r="E12" s="3350">
        <f>VLOOKUP(E$6,'Weighting and Rates PFF'!$B$30:$C$34,2,0)*E11</f>
        <v>392348.33333333343</v>
      </c>
      <c r="F12" s="3350">
        <f>VLOOKUP(F$6,'Weighting and Rates PFF'!$B$30:$C$34,2,0)*F11</f>
        <v>46770</v>
      </c>
      <c r="G12" s="3351">
        <f>VLOOKUP(G$6,'Weighting and Rates PFF'!$B$30:$C$34,2,0)*G11</f>
        <v>0</v>
      </c>
      <c r="H12" s="3348"/>
      <c r="I12" s="3350"/>
      <c r="J12" s="3352">
        <f>VLOOKUP(J$6,'Weighting and Rates PFF'!$B$36:$C$38,2,0)*J11</f>
        <v>231137.33999999997</v>
      </c>
      <c r="K12" s="3348"/>
      <c r="L12" s="3350"/>
      <c r="M12" s="3352"/>
      <c r="N12" s="3348"/>
      <c r="O12" s="3350"/>
      <c r="P12" s="3354">
        <f>VLOOKUP(P$6,'Weighting and Rates PFF'!$B$44:$C$48,2,0)*'Summary of PFF Metrics 2014'!P11</f>
        <v>32639.999999999993</v>
      </c>
      <c r="Q12" s="3354"/>
      <c r="R12" s="3355">
        <f>VLOOKUP(R$6,'Weighting and Rates PFF'!$B$44:$C$48,2,0)*'Summary of PFF Metrics 2014'!R11</f>
        <v>107100.00000000004</v>
      </c>
      <c r="S12" s="3348"/>
      <c r="T12" s="3350"/>
      <c r="U12" s="3352"/>
      <c r="V12" s="3364"/>
      <c r="W12" s="3357">
        <f>IF(W11&gt;0,W11*'Weighting and Rates PFF'!$C$55,0)</f>
        <v>0</v>
      </c>
      <c r="X12" s="3358">
        <f>'Weighting and Rates PFF'!F58</f>
        <v>31240.953374999997</v>
      </c>
      <c r="Y12" s="3359">
        <f>SUM(C12:X12)</f>
        <v>841236.62670833338</v>
      </c>
      <c r="AA12" s="3500" t="str">
        <f>B10</f>
        <v>IUE</v>
      </c>
      <c r="AB12" s="3789">
        <f>(C12+D12+E12+F12+G12)/$Y12</f>
        <v>0.52199145804142566</v>
      </c>
      <c r="AC12" s="3783">
        <f>(H12+I12+J12)/$Y12</f>
        <v>0.27475900675463338</v>
      </c>
      <c r="AD12" s="3783">
        <f>(K12+L12+M12)/$Y12</f>
        <v>0</v>
      </c>
      <c r="AE12" s="3783">
        <f>SUM(N12:R12)/$Y12</f>
        <v>0.16611259610365198</v>
      </c>
      <c r="AF12" s="3783">
        <f>SUM(S12:U12)/$Y12</f>
        <v>0</v>
      </c>
      <c r="AG12" s="3783">
        <f>SUM(V12:W12)/$Y12</f>
        <v>0</v>
      </c>
      <c r="AH12" s="3790">
        <f>X12/$Y12</f>
        <v>3.7136939100289083E-2</v>
      </c>
    </row>
    <row r="13" spans="1:34">
      <c r="B13" s="3365" t="s">
        <v>264</v>
      </c>
      <c r="C13" s="3340"/>
      <c r="D13" s="3341"/>
      <c r="E13" s="3342"/>
      <c r="F13" s="3342"/>
      <c r="G13" s="3343"/>
      <c r="H13" s="3340"/>
      <c r="I13" s="3342"/>
      <c r="J13" s="3344"/>
      <c r="K13" s="3340"/>
      <c r="L13" s="3342"/>
      <c r="M13" s="3344"/>
      <c r="N13" s="3340"/>
      <c r="O13" s="3342"/>
      <c r="P13" s="3342"/>
      <c r="Q13" s="3342"/>
      <c r="R13" s="3344"/>
      <c r="S13" s="3340"/>
      <c r="T13" s="3342"/>
      <c r="U13" s="3344"/>
      <c r="V13" s="3363"/>
      <c r="W13" s="3361"/>
      <c r="X13" s="3345"/>
      <c r="Y13" s="3338"/>
      <c r="AA13" s="3786"/>
      <c r="AB13" s="3481"/>
      <c r="AC13" s="3787"/>
      <c r="AD13" s="3787"/>
      <c r="AE13" s="3787"/>
      <c r="AF13" s="3787"/>
      <c r="AG13" s="3787"/>
      <c r="AH13" s="3788"/>
    </row>
    <row r="14" spans="1:34" s="3295" customFormat="1">
      <c r="B14" s="3295" t="s">
        <v>280</v>
      </c>
      <c r="C14" s="3340"/>
      <c r="D14" s="3341"/>
      <c r="E14" s="3342">
        <f>IF('Overall Degree Completion PMS I'!$R47&gt;0,'Overall Degree Completion PMS I'!$R47,0)</f>
        <v>77</v>
      </c>
      <c r="F14" s="3342">
        <f>IF('Overall Degree Completion PMS I'!$R49&gt;0,'Overall Degree Completion PMS I'!$R49,0)</f>
        <v>11.666666666666668</v>
      </c>
      <c r="G14" s="3343">
        <f>IF('Overall Degree Completion PMS I'!$R51&gt;0,'Overall Degree Completion PMS I'!$R51,0)</f>
        <v>0</v>
      </c>
      <c r="H14" s="3340"/>
      <c r="I14" s="3342"/>
      <c r="J14" s="3344">
        <f>IF('At-Risk Student Degree PMS II'!$R35&gt;0,'At-Risk Student Degree PMS II'!$R35,0)</f>
        <v>44.666666666666671</v>
      </c>
      <c r="K14" s="3340"/>
      <c r="L14" s="3342"/>
      <c r="M14" s="3344"/>
      <c r="N14" s="3362"/>
      <c r="O14" s="3342"/>
      <c r="P14" s="3342">
        <f>IF('Student Persistence PMS IV'!$R35&gt;0,'Student Persistence PMS IV'!$R35,0)</f>
        <v>16.666666666666657</v>
      </c>
      <c r="Q14" s="3342"/>
      <c r="R14" s="3344">
        <f>IF('Student Persistence PMS IV'!$R36&gt;0,'Student Persistence PMS IV'!$R36,0)</f>
        <v>2</v>
      </c>
      <c r="S14" s="3340"/>
      <c r="T14" s="3342"/>
      <c r="U14" s="3344"/>
      <c r="V14" s="3363"/>
      <c r="W14" s="3344">
        <v>0</v>
      </c>
      <c r="X14" s="3345" t="str">
        <f>'Institutional Eff PMS VII'!X10</f>
        <v>SIG/SIG</v>
      </c>
      <c r="Y14" s="3346">
        <f>Y15/$Y$69</f>
        <v>1.4422066715813173E-2</v>
      </c>
      <c r="AA14" s="3396"/>
      <c r="AB14" s="3491"/>
      <c r="AC14" s="3780"/>
      <c r="AD14" s="3780"/>
      <c r="AE14" s="3780"/>
      <c r="AF14" s="3780"/>
      <c r="AG14" s="3780"/>
      <c r="AH14" s="3781"/>
    </row>
    <row r="15" spans="1:34" s="3366" customFormat="1" ht="14.4" thickBot="1">
      <c r="B15" s="3367" t="s">
        <v>281</v>
      </c>
      <c r="C15" s="3353"/>
      <c r="D15" s="3368"/>
      <c r="E15" s="3354">
        <f>VLOOKUP(E$6,'Weighting and Rates PFF'!$B$30:$C$34,2,0)*E14</f>
        <v>600215</v>
      </c>
      <c r="F15" s="3354">
        <f>VLOOKUP(F$6,'Weighting and Rates PFF'!$B$30:$C$34,2,0)*F14</f>
        <v>45470.833333333336</v>
      </c>
      <c r="G15" s="3369">
        <f>VLOOKUP(G$6,'Weighting and Rates PFF'!$B$30:$C$34,2,0)*G14</f>
        <v>0</v>
      </c>
      <c r="H15" s="3353"/>
      <c r="I15" s="3354"/>
      <c r="J15" s="3355">
        <f>VLOOKUP(J$6,'Weighting and Rates PFF'!$B$36:$C$38,2,0)*J14</f>
        <v>245812.72666666668</v>
      </c>
      <c r="K15" s="3353"/>
      <c r="L15" s="3354"/>
      <c r="M15" s="3355"/>
      <c r="N15" s="3370"/>
      <c r="O15" s="3354"/>
      <c r="P15" s="3354">
        <f>VLOOKUP(P$6,'Weighting and Rates PFF'!$B$44:$C$48,2,0)*'Summary of PFF Metrics 2014'!P14</f>
        <v>12749.999999999993</v>
      </c>
      <c r="Q15" s="3354"/>
      <c r="R15" s="3355">
        <f>VLOOKUP(R$6,'Weighting and Rates PFF'!$B$44:$C$48,2,0)*'Summary of PFF Metrics 2014'!R14</f>
        <v>3060</v>
      </c>
      <c r="S15" s="3353"/>
      <c r="T15" s="3354"/>
      <c r="U15" s="3355"/>
      <c r="V15" s="3370"/>
      <c r="W15" s="3357">
        <f>IF(W14&gt;0,W14*'Weighting and Rates PFF'!$C$55,0)</f>
        <v>0</v>
      </c>
      <c r="X15" s="3358">
        <f>'Weighting and Rates PFF'!F59</f>
        <v>52799.269439999996</v>
      </c>
      <c r="Y15" s="3359">
        <f>SUM(C15:X15)</f>
        <v>960107.82944</v>
      </c>
      <c r="AA15" s="3500" t="str">
        <f>B13</f>
        <v>IUK</v>
      </c>
      <c r="AB15" s="3789">
        <f>(C15+D15+E15+F15+G15)/$Y15</f>
        <v>0.67251387139498819</v>
      </c>
      <c r="AC15" s="3783">
        <f>(H15+I15+J15)/$Y15</f>
        <v>0.25602616615473422</v>
      </c>
      <c r="AD15" s="3783">
        <f>(K15+L15+M15)/$Y15</f>
        <v>0</v>
      </c>
      <c r="AE15" s="3783">
        <f>SUM(N15:R15)/$Y15</f>
        <v>1.6466900399324372E-2</v>
      </c>
      <c r="AF15" s="3783">
        <f>SUM(S15:U15)/$Y15</f>
        <v>0</v>
      </c>
      <c r="AG15" s="3783">
        <f>SUM(V15:W15)/$Y15</f>
        <v>0</v>
      </c>
      <c r="AH15" s="3790">
        <f>X15/$Y15</f>
        <v>5.4993062050953286E-2</v>
      </c>
    </row>
    <row r="16" spans="1:34">
      <c r="B16" s="3261" t="s">
        <v>266</v>
      </c>
      <c r="C16" s="3340"/>
      <c r="D16" s="3341"/>
      <c r="E16" s="3342"/>
      <c r="F16" s="3342"/>
      <c r="G16" s="3343"/>
      <c r="H16" s="3340"/>
      <c r="I16" s="3342"/>
      <c r="J16" s="3344"/>
      <c r="K16" s="3340"/>
      <c r="L16" s="3342"/>
      <c r="M16" s="3344"/>
      <c r="N16" s="3340"/>
      <c r="O16" s="3342"/>
      <c r="P16" s="3342"/>
      <c r="Q16" s="3342"/>
      <c r="R16" s="3344"/>
      <c r="S16" s="3340"/>
      <c r="T16" s="3342"/>
      <c r="U16" s="3344"/>
      <c r="V16" s="3363"/>
      <c r="W16" s="3361"/>
      <c r="X16" s="3345"/>
      <c r="Y16" s="3338"/>
      <c r="AA16" s="3786"/>
      <c r="AB16" s="3481"/>
      <c r="AC16" s="3787"/>
      <c r="AD16" s="3787"/>
      <c r="AE16" s="3787"/>
      <c r="AF16" s="3787"/>
      <c r="AG16" s="3787"/>
      <c r="AH16" s="3788"/>
    </row>
    <row r="17" spans="2:34" s="3295" customFormat="1">
      <c r="B17" s="3339" t="s">
        <v>280</v>
      </c>
      <c r="C17" s="3340"/>
      <c r="D17" s="3341"/>
      <c r="E17" s="3342">
        <f>IF('Overall Degree Completion PMS I'!$R59&gt;0,'Overall Degree Completion PMS I'!$R59,0)</f>
        <v>22.333333333333314</v>
      </c>
      <c r="F17" s="3342">
        <f>IF('Overall Degree Completion PMS I'!$R61&gt;0,'Overall Degree Completion PMS I'!$R61,0)</f>
        <v>26.666666666666657</v>
      </c>
      <c r="G17" s="3343">
        <f>IF('Overall Degree Completion PMS I'!$R63&gt;0,'Overall Degree Completion PMS I'!$R63,0)</f>
        <v>0</v>
      </c>
      <c r="H17" s="3340"/>
      <c r="I17" s="3342"/>
      <c r="J17" s="3344">
        <f>IF('At-Risk Student Degree PMS II'!$R43&gt;0,'At-Risk Student Degree PMS II'!$R43,0)</f>
        <v>40.333333333333343</v>
      </c>
      <c r="K17" s="3340"/>
      <c r="L17" s="3342"/>
      <c r="M17" s="3344"/>
      <c r="N17" s="3362"/>
      <c r="O17" s="3342"/>
      <c r="P17" s="3342">
        <f>IF('Student Persistence PMS IV'!$R46&gt;0,'Student Persistence PMS IV'!$R46,0)</f>
        <v>180.66666666666669</v>
      </c>
      <c r="Q17" s="3342"/>
      <c r="R17" s="3344">
        <f>IF('Student Persistence PMS IV'!$R47&gt;0,'Student Persistence PMS IV'!$R47,0)</f>
        <v>107.66666666666674</v>
      </c>
      <c r="S17" s="3340"/>
      <c r="T17" s="3342"/>
      <c r="U17" s="3344"/>
      <c r="V17" s="3363"/>
      <c r="W17" s="3344">
        <f>IF('On-time Graduation Rate PMS VI'!$R58&gt;0,'On-time Graduation Rate PMS VI'!$R58,0)</f>
        <v>0</v>
      </c>
      <c r="X17" s="3345" t="str">
        <f>'Institutional Eff PMS VII'!X11</f>
        <v>SIG/NO</v>
      </c>
      <c r="Y17" s="3346">
        <f>Y18/$Y$69</f>
        <v>1.2061004837607196E-2</v>
      </c>
      <c r="AA17" s="3396"/>
      <c r="AB17" s="3491"/>
      <c r="AC17" s="3780"/>
      <c r="AD17" s="3780"/>
      <c r="AE17" s="3780"/>
      <c r="AF17" s="3780"/>
      <c r="AG17" s="3780"/>
      <c r="AH17" s="3781"/>
    </row>
    <row r="18" spans="2:34" s="3366" customFormat="1" ht="14.4" thickBot="1">
      <c r="B18" s="3367" t="s">
        <v>281</v>
      </c>
      <c r="C18" s="3353"/>
      <c r="D18" s="3368"/>
      <c r="E18" s="3354">
        <f>VLOOKUP(E$6,'Weighting and Rates PFF'!$B$30:$C$34,2,0)*E17</f>
        <v>174088.3333333332</v>
      </c>
      <c r="F18" s="3354">
        <f>VLOOKUP(F$6,'Weighting and Rates PFF'!$B$30:$C$34,2,0)*F17</f>
        <v>103933.3333333333</v>
      </c>
      <c r="G18" s="3369">
        <f>VLOOKUP(G$6,'Weighting and Rates PFF'!$B$30:$C$34,2,0)*G17</f>
        <v>0</v>
      </c>
      <c r="H18" s="3353"/>
      <c r="I18" s="3354"/>
      <c r="J18" s="3355">
        <f>VLOOKUP(J$6,'Weighting and Rates PFF'!$B$36:$C$38,2,0)*J17</f>
        <v>221965.22333333336</v>
      </c>
      <c r="K18" s="3353"/>
      <c r="L18" s="3354"/>
      <c r="M18" s="3355"/>
      <c r="N18" s="3370"/>
      <c r="O18" s="3354"/>
      <c r="P18" s="3354">
        <f>VLOOKUP(P$6,'Weighting and Rates PFF'!$B$44:$C$48,2,0)*'Summary of PFF Metrics 2014'!P17</f>
        <v>138210</v>
      </c>
      <c r="Q18" s="3354"/>
      <c r="R18" s="3355">
        <f>VLOOKUP(R$6,'Weighting and Rates PFF'!$B$44:$C$48,2,0)*'Summary of PFF Metrics 2014'!R17</f>
        <v>164730.00000000012</v>
      </c>
      <c r="S18" s="3353"/>
      <c r="T18" s="3354"/>
      <c r="U18" s="3355"/>
      <c r="V18" s="3370"/>
      <c r="W18" s="3357">
        <f>IF(W17&gt;0,W17*'Weighting and Rates PFF'!$C$55,0)</f>
        <v>0</v>
      </c>
      <c r="X18" s="3358">
        <f>'Weighting and Rates PFF'!F60</f>
        <v>0</v>
      </c>
      <c r="Y18" s="3359">
        <f>SUM(C18:X18)</f>
        <v>802926.89</v>
      </c>
      <c r="AA18" s="3396" t="str">
        <f>B16</f>
        <v>IUN</v>
      </c>
      <c r="AB18" s="3791">
        <f>(C18+D18+E18+F18+G18)/$Y18</f>
        <v>0.34626025124985726</v>
      </c>
      <c r="AC18" s="3792">
        <f>(H18+I18+J18)/$Y18</f>
        <v>0.27644512358196566</v>
      </c>
      <c r="AD18" s="3792">
        <f>(K18+L18+M18)/$Y18</f>
        <v>0</v>
      </c>
      <c r="AE18" s="3793">
        <f>SUM(N18:R18)/$Y18</f>
        <v>0.37729462516817702</v>
      </c>
      <c r="AF18" s="3792">
        <f>SUM(S18:U18)/$Y18</f>
        <v>0</v>
      </c>
      <c r="AG18" s="3792">
        <f>SUM(V18:W18)/$Y18</f>
        <v>0</v>
      </c>
      <c r="AH18" s="3794">
        <f>X18/$Y18</f>
        <v>0</v>
      </c>
    </row>
    <row r="19" spans="2:34">
      <c r="B19" s="3261" t="s">
        <v>267</v>
      </c>
      <c r="C19" s="3340"/>
      <c r="D19" s="3341"/>
      <c r="E19" s="3342"/>
      <c r="F19" s="3342"/>
      <c r="G19" s="3343"/>
      <c r="H19" s="3340"/>
      <c r="I19" s="3342"/>
      <c r="J19" s="3344"/>
      <c r="K19" s="3340"/>
      <c r="L19" s="3342"/>
      <c r="M19" s="3344"/>
      <c r="N19" s="3340"/>
      <c r="O19" s="3342"/>
      <c r="P19" s="3342"/>
      <c r="Q19" s="3342"/>
      <c r="R19" s="3344"/>
      <c r="S19" s="3340"/>
      <c r="T19" s="3342"/>
      <c r="U19" s="3344"/>
      <c r="V19" s="3363"/>
      <c r="W19" s="3361"/>
      <c r="X19" s="3345"/>
      <c r="Y19" s="3338"/>
      <c r="AA19" s="3786"/>
      <c r="AB19" s="3481"/>
      <c r="AC19" s="3787"/>
      <c r="AD19" s="3787"/>
      <c r="AE19" s="3787"/>
      <c r="AF19" s="3787"/>
      <c r="AG19" s="3787"/>
      <c r="AH19" s="3788"/>
    </row>
    <row r="20" spans="2:34" s="3295" customFormat="1">
      <c r="B20" s="3339" t="s">
        <v>280</v>
      </c>
      <c r="C20" s="3340"/>
      <c r="D20" s="3341"/>
      <c r="E20" s="3342">
        <f>IF('Overall Degree Completion PMS I'!$R71&gt;0,'Overall Degree Completion PMS I'!$R71,0)</f>
        <v>29.333333333333371</v>
      </c>
      <c r="F20" s="3342">
        <f>IF('Overall Degree Completion PMS I'!$R73&gt;0,'Overall Degree Completion PMS I'!$R73,0)</f>
        <v>0</v>
      </c>
      <c r="G20" s="3343">
        <f>IF('Overall Degree Completion PMS I'!$R73&gt;0,'Overall Degree Completion PMS I'!$R73,0)</f>
        <v>0</v>
      </c>
      <c r="H20" s="3340"/>
      <c r="I20" s="3342"/>
      <c r="J20" s="3344">
        <f>IF('At-Risk Student Degree PMS II'!$R51&gt;0,'At-Risk Student Degree PMS II'!$R51,0)</f>
        <v>53.666666666666657</v>
      </c>
      <c r="K20" s="3340"/>
      <c r="L20" s="3342"/>
      <c r="M20" s="3344"/>
      <c r="N20" s="3362"/>
      <c r="O20" s="3342"/>
      <c r="P20" s="3342">
        <f>IF('Student Persistence PMS IV'!$R57&gt;0,'Student Persistence PMS IV'!$R57,0)</f>
        <v>217.66666666666674</v>
      </c>
      <c r="Q20" s="3342"/>
      <c r="R20" s="3344">
        <f>IF('Student Persistence PMS IV'!$R58&gt;0,'Student Persistence PMS IV'!$R58,0)</f>
        <v>187</v>
      </c>
      <c r="S20" s="3340"/>
      <c r="T20" s="3342"/>
      <c r="U20" s="3344"/>
      <c r="V20" s="3363"/>
      <c r="W20" s="3344">
        <v>0</v>
      </c>
      <c r="X20" s="3345" t="str">
        <f>'Institutional Eff PMS VII'!X12</f>
        <v>SIG/NO</v>
      </c>
      <c r="Y20" s="3346">
        <f>Y21/$Y$69</f>
        <v>1.4670108326296449E-2</v>
      </c>
      <c r="AA20" s="3396"/>
      <c r="AB20" s="3491"/>
      <c r="AC20" s="3780"/>
      <c r="AD20" s="3780"/>
      <c r="AE20" s="3780"/>
      <c r="AF20" s="3780"/>
      <c r="AG20" s="3780"/>
      <c r="AH20" s="3781"/>
    </row>
    <row r="21" spans="2:34" s="3366" customFormat="1" ht="14.4" thickBot="1">
      <c r="B21" s="3367" t="s">
        <v>281</v>
      </c>
      <c r="C21" s="3353"/>
      <c r="D21" s="3368"/>
      <c r="E21" s="3354">
        <f>VLOOKUP(E$6,'Weighting and Rates PFF'!$B$30:$C$34,2,0)*E20</f>
        <v>228653.33333333363</v>
      </c>
      <c r="F21" s="3354">
        <f>VLOOKUP(F$6,'Weighting and Rates PFF'!$B$30:$C$34,2,0)*F20</f>
        <v>0</v>
      </c>
      <c r="G21" s="3369">
        <f>VLOOKUP(G$6,'Weighting and Rates PFF'!$B$30:$C$34,2,0)*G20</f>
        <v>0</v>
      </c>
      <c r="H21" s="3353"/>
      <c r="I21" s="3354"/>
      <c r="J21" s="3355">
        <f>VLOOKUP(J$6,'Weighting and Rates PFF'!$B$36:$C$38,2,0)*J20</f>
        <v>295342.15666666656</v>
      </c>
      <c r="K21" s="3353"/>
      <c r="L21" s="3354"/>
      <c r="M21" s="3355"/>
      <c r="N21" s="3370"/>
      <c r="O21" s="3354"/>
      <c r="P21" s="3354">
        <f>VLOOKUP(P$6,'Weighting and Rates PFF'!$B$44:$C$48,2,0)*'Summary of PFF Metrics 2014'!P20</f>
        <v>166515.00000000006</v>
      </c>
      <c r="Q21" s="3354"/>
      <c r="R21" s="3355">
        <f>VLOOKUP(R$6,'Weighting and Rates PFF'!$B$44:$C$48,2,0)*'Summary of PFF Metrics 2014'!R20</f>
        <v>286110</v>
      </c>
      <c r="S21" s="3353"/>
      <c r="T21" s="3354"/>
      <c r="U21" s="3355"/>
      <c r="V21" s="3370"/>
      <c r="W21" s="3357">
        <f>IF(W20&gt;0,W20*'Weighting and Rates PFF'!$C$55,0)</f>
        <v>0</v>
      </c>
      <c r="X21" s="3358">
        <f>'Weighting and Rates PFF'!F61</f>
        <v>0</v>
      </c>
      <c r="Y21" s="3359">
        <f>SUM(C21:X21)</f>
        <v>976620.49000000022</v>
      </c>
      <c r="AA21" s="3500" t="str">
        <f>B19</f>
        <v>IUSB</v>
      </c>
      <c r="AB21" s="3782">
        <f>(C21+D21+E21+F21+G21)/$Y21</f>
        <v>0.23412711045345114</v>
      </c>
      <c r="AC21" s="3783">
        <f>(H21+I21+J21)/$Y21</f>
        <v>0.30241241064547653</v>
      </c>
      <c r="AD21" s="3783">
        <f>(K21+L21+M21)/$Y21</f>
        <v>0</v>
      </c>
      <c r="AE21" s="3784">
        <f>SUM(N21:R21)/$Y21</f>
        <v>0.46346047890107239</v>
      </c>
      <c r="AF21" s="3783">
        <f>SUM(S21:U21)/$Y21</f>
        <v>0</v>
      </c>
      <c r="AG21" s="3783">
        <f>SUM(V21:W21)/$Y21</f>
        <v>0</v>
      </c>
      <c r="AH21" s="3790">
        <f>X21/$Y21</f>
        <v>0</v>
      </c>
    </row>
    <row r="22" spans="2:34">
      <c r="B22" s="3261" t="s">
        <v>268</v>
      </c>
      <c r="C22" s="3340"/>
      <c r="D22" s="3341"/>
      <c r="E22" s="3342"/>
      <c r="F22" s="3342"/>
      <c r="G22" s="3343"/>
      <c r="H22" s="3340"/>
      <c r="I22" s="3342"/>
      <c r="J22" s="3344"/>
      <c r="K22" s="3340"/>
      <c r="L22" s="3342"/>
      <c r="M22" s="3344"/>
      <c r="N22" s="3340"/>
      <c r="O22" s="3342"/>
      <c r="P22" s="3342"/>
      <c r="Q22" s="3342"/>
      <c r="R22" s="3344"/>
      <c r="S22" s="3340"/>
      <c r="T22" s="3342"/>
      <c r="U22" s="3344"/>
      <c r="V22" s="3363"/>
      <c r="W22" s="3361"/>
      <c r="X22" s="3345"/>
      <c r="Y22" s="3338"/>
      <c r="AA22" s="3786"/>
      <c r="AB22" s="3481"/>
      <c r="AC22" s="3787"/>
      <c r="AD22" s="3787"/>
      <c r="AE22" s="3787"/>
      <c r="AF22" s="3787"/>
      <c r="AG22" s="3787"/>
      <c r="AH22" s="3788"/>
    </row>
    <row r="23" spans="2:34" s="3295" customFormat="1">
      <c r="B23" s="3339" t="s">
        <v>280</v>
      </c>
      <c r="C23" s="3340"/>
      <c r="D23" s="3341"/>
      <c r="E23" s="3342">
        <f>IF('Overall Degree Completion PMS I'!$R83&gt;0,'Overall Degree Completion PMS I'!$R83,0)</f>
        <v>0</v>
      </c>
      <c r="F23" s="3342">
        <f>IF('Overall Degree Completion PMS I'!$R85&gt;0,'Overall Degree Completion PMS I'!$R85,0)</f>
        <v>0</v>
      </c>
      <c r="G23" s="3343">
        <f>IF('Overall Degree Completion PMS I'!$R87&gt;0,'Overall Degree Completion PMS I'!$R87,0)</f>
        <v>0</v>
      </c>
      <c r="H23" s="3340"/>
      <c r="I23" s="3342"/>
      <c r="J23" s="3344">
        <f>IF('At-Risk Student Degree PMS II'!$R59&gt;0,'At-Risk Student Degree PMS II'!$R59,0)</f>
        <v>31.333333333333343</v>
      </c>
      <c r="K23" s="3340"/>
      <c r="L23" s="3342"/>
      <c r="M23" s="3344"/>
      <c r="N23" s="3362"/>
      <c r="O23" s="3342"/>
      <c r="P23" s="3342">
        <f>IF('Student Persistence PMS IV'!$R68&gt;0,'Student Persistence PMS IV'!$R68,0)</f>
        <v>94</v>
      </c>
      <c r="Q23" s="3342"/>
      <c r="R23" s="3344">
        <f>IF('Student Persistence PMS IV'!$R69&gt;0,'Student Persistence PMS IV'!$R69,0)</f>
        <v>109.33333333333326</v>
      </c>
      <c r="S23" s="3340"/>
      <c r="T23" s="3342"/>
      <c r="U23" s="3344"/>
      <c r="V23" s="3363"/>
      <c r="W23" s="3344">
        <f>IF('On-time Graduation Rate PMS VI'!$R80&gt;0,'On-time Graduation Rate PMS VI'!$R80,0)</f>
        <v>5.3333333333333286</v>
      </c>
      <c r="X23" s="3345" t="str">
        <f>'Institutional Eff PMS VII'!X13</f>
        <v>SIG/NO</v>
      </c>
      <c r="Y23" s="3346">
        <f>Y24/$Y$69</f>
        <v>8.0194536088384061E-3</v>
      </c>
      <c r="AA23" s="3396"/>
      <c r="AB23" s="3491"/>
      <c r="AC23" s="3780"/>
      <c r="AD23" s="3780"/>
      <c r="AE23" s="3780"/>
      <c r="AF23" s="3780"/>
      <c r="AG23" s="3780"/>
      <c r="AH23" s="3781"/>
    </row>
    <row r="24" spans="2:34" s="3366" customFormat="1" ht="14.4" thickBot="1">
      <c r="B24" s="3367" t="s">
        <v>281</v>
      </c>
      <c r="C24" s="3353"/>
      <c r="D24" s="3368"/>
      <c r="E24" s="3354">
        <f>VLOOKUP(E$6,'Weighting and Rates PFF'!$B$30:$C$34,2,0)*E23</f>
        <v>0</v>
      </c>
      <c r="F24" s="3354">
        <f>VLOOKUP(F$6,'Weighting and Rates PFF'!$B$30:$C$34,2,0)*F23</f>
        <v>0</v>
      </c>
      <c r="G24" s="3369">
        <f>VLOOKUP(G$6,'Weighting and Rates PFF'!$B$30:$C$34,2,0)*G23</f>
        <v>0</v>
      </c>
      <c r="H24" s="3353"/>
      <c r="I24" s="3354"/>
      <c r="J24" s="3355">
        <f>VLOOKUP(J$6,'Weighting and Rates PFF'!$B$36:$C$38,2,0)*J23</f>
        <v>172435.79333333336</v>
      </c>
      <c r="K24" s="3353"/>
      <c r="L24" s="3354"/>
      <c r="M24" s="3355"/>
      <c r="N24" s="3370"/>
      <c r="O24" s="3354"/>
      <c r="P24" s="3354">
        <f>VLOOKUP(P$6,'Weighting and Rates PFF'!$B$44:$C$48,2,0)*'Summary of PFF Metrics 2014'!P23</f>
        <v>71910</v>
      </c>
      <c r="Q24" s="3354"/>
      <c r="R24" s="3355">
        <f>VLOOKUP(R$6,'Weighting and Rates PFF'!$B$44:$C$48,2,0)*'Summary of PFF Metrics 2014'!R23</f>
        <v>167279.99999999988</v>
      </c>
      <c r="S24" s="3353"/>
      <c r="T24" s="3354"/>
      <c r="U24" s="3355"/>
      <c r="V24" s="3370"/>
      <c r="W24" s="3357">
        <f>IF(W23&gt;0,W23*'Weighting and Rates PFF'!$C$55,0)</f>
        <v>122246.38666666657</v>
      </c>
      <c r="X24" s="3358">
        <f>'Weighting and Rates PFF'!F62</f>
        <v>0</v>
      </c>
      <c r="Y24" s="3359">
        <f>SUM(C24:X24)</f>
        <v>533872.17999999982</v>
      </c>
      <c r="AA24" s="3500" t="str">
        <f>B22</f>
        <v>IUS</v>
      </c>
      <c r="AB24" s="3782">
        <f>(C24+D24+E24+F24+G24)/$Y24</f>
        <v>0</v>
      </c>
      <c r="AC24" s="3783">
        <f>(H24+I24+J24)/$Y24</f>
        <v>0.322990782799983</v>
      </c>
      <c r="AD24" s="3783">
        <f>(K24+L24+M24)/$Y24</f>
        <v>0</v>
      </c>
      <c r="AE24" s="3784">
        <f>SUM(N24:R24)/$Y24</f>
        <v>0.44802858991453715</v>
      </c>
      <c r="AF24" s="3783">
        <f>SUM(S24:U24)/$Y24</f>
        <v>0</v>
      </c>
      <c r="AG24" s="3783">
        <f>SUM(V24:W24)/$Y24</f>
        <v>0.22898062728547985</v>
      </c>
      <c r="AH24" s="3790">
        <f>X24/$Y24</f>
        <v>0</v>
      </c>
    </row>
    <row r="25" spans="2:34" s="3295" customFormat="1">
      <c r="B25" s="3365" t="s">
        <v>485</v>
      </c>
      <c r="C25" s="3340"/>
      <c r="D25" s="3341"/>
      <c r="E25" s="3342"/>
      <c r="F25" s="3342"/>
      <c r="G25" s="3343"/>
      <c r="H25" s="3340"/>
      <c r="I25" s="3342"/>
      <c r="J25" s="3344"/>
      <c r="K25" s="3340"/>
      <c r="L25" s="3342"/>
      <c r="M25" s="3344"/>
      <c r="N25" s="3340"/>
      <c r="O25" s="3342"/>
      <c r="P25" s="3342"/>
      <c r="Q25" s="3342"/>
      <c r="R25" s="3344"/>
      <c r="S25" s="3340"/>
      <c r="T25" s="3342"/>
      <c r="U25" s="3344"/>
      <c r="V25" s="3363"/>
      <c r="W25" s="3361"/>
      <c r="X25" s="3345"/>
      <c r="Y25" s="3338"/>
      <c r="AA25" s="3795"/>
      <c r="AB25" s="3481"/>
      <c r="AC25" s="3787"/>
      <c r="AD25" s="3787"/>
      <c r="AE25" s="3787"/>
      <c r="AF25" s="3787"/>
      <c r="AG25" s="3787"/>
      <c r="AH25" s="3788"/>
    </row>
    <row r="26" spans="2:34" s="3295" customFormat="1">
      <c r="B26" s="3339" t="s">
        <v>280</v>
      </c>
      <c r="C26" s="3340"/>
      <c r="D26" s="3341"/>
      <c r="E26" s="3342">
        <f>IF('Overall Degree Completion PMS I'!$R95&gt;0,'Overall Degree Completion PMS I'!$R95,0)</f>
        <v>357</v>
      </c>
      <c r="F26" s="3342">
        <f>IF('Overall Degree Completion PMS I'!$R97&gt;0,'Overall Degree Completion PMS I'!$R97,0)</f>
        <v>96</v>
      </c>
      <c r="G26" s="3343">
        <f>IF('Overall Degree Completion PMS I'!$R99&gt;0,'Overall Degree Completion PMS I'!$R99,0)</f>
        <v>0</v>
      </c>
      <c r="H26" s="3340"/>
      <c r="I26" s="3342"/>
      <c r="J26" s="3344">
        <f>IF('At-Risk Student Degree PMS II'!$R67&gt;0,'At-Risk Student Degree PMS II'!$R67,0)</f>
        <v>255</v>
      </c>
      <c r="K26" s="3340">
        <f>IF('High Impact Degree PMS III'!$R23&gt;0,'High Impact Degree PMS III'!$R23,0)</f>
        <v>36.999999999999943</v>
      </c>
      <c r="L26" s="3342">
        <f>IF('High Impact Degree PMS III'!$R25&gt;0,'High Impact Degree PMS III'!$R25,0)</f>
        <v>10.666666666666686</v>
      </c>
      <c r="M26" s="3344">
        <f>IF('High Impact Degree PMS III'!$R27&gt;0,'High Impact Degree PMS III'!$R27,0)</f>
        <v>0</v>
      </c>
      <c r="N26" s="3340"/>
      <c r="O26" s="3342"/>
      <c r="P26" s="3342"/>
      <c r="Q26" s="3342"/>
      <c r="R26" s="3344"/>
      <c r="S26" s="3340"/>
      <c r="T26" s="3342"/>
      <c r="U26" s="3344"/>
      <c r="V26" s="3363"/>
      <c r="W26" s="3344">
        <f>IF('On-time Graduation Rate PMS VI'!$R91&gt;0,'On-time Graduation Rate PMS VI'!$R91,0)</f>
        <v>90.333333333333314</v>
      </c>
      <c r="X26" s="3345" t="str">
        <f>'Institutional Eff PMS VII'!X14</f>
        <v>SIG/MOD</v>
      </c>
      <c r="Y26" s="3346">
        <f>Y27/$Y$69</f>
        <v>0.1177611581174671</v>
      </c>
      <c r="AA26" s="3396"/>
      <c r="AB26" s="3491"/>
      <c r="AC26" s="3780"/>
      <c r="AD26" s="3780"/>
      <c r="AE26" s="3780"/>
      <c r="AF26" s="3780"/>
      <c r="AG26" s="3780"/>
      <c r="AH26" s="3781"/>
    </row>
    <row r="27" spans="2:34" s="3366" customFormat="1" ht="14.4" thickBot="1">
      <c r="B27" s="3367" t="s">
        <v>281</v>
      </c>
      <c r="C27" s="3353"/>
      <c r="D27" s="3368"/>
      <c r="E27" s="3354">
        <f>VLOOKUP(E$6,'Weighting and Rates PFF'!$B$30:$C$34,2,0)*E26</f>
        <v>2782815</v>
      </c>
      <c r="F27" s="3354">
        <f>VLOOKUP(F$6,'Weighting and Rates PFF'!$B$30:$C$34,2,0)*F26</f>
        <v>374160</v>
      </c>
      <c r="G27" s="3369">
        <f>VLOOKUP(G$6,'Weighting and Rates PFF'!$B$30:$C$34,2,0)*G26</f>
        <v>0</v>
      </c>
      <c r="H27" s="3353"/>
      <c r="I27" s="3354"/>
      <c r="J27" s="3355">
        <f>VLOOKUP(J$6,'Weighting and Rates PFF'!$B$36:$C$38,2,0)*J26</f>
        <v>1403333.8499999999</v>
      </c>
      <c r="K27" s="3353">
        <f>VLOOKUP(K$6,'Weighting and Rates PFF'!$B$40:$C$42,2,0)*K26</f>
        <v>721181.70749999897</v>
      </c>
      <c r="L27" s="3354">
        <f>VLOOKUP(L$6,'Weighting and Rates PFF'!$B$40:$C$42,2,0)*L26</f>
        <v>149684.78666666691</v>
      </c>
      <c r="M27" s="3355">
        <f>VLOOKUP(M$6,'Weighting and Rates PFF'!$B$40:$C$42,2,0)*M26</f>
        <v>0</v>
      </c>
      <c r="N27" s="3370"/>
      <c r="O27" s="3354"/>
      <c r="P27" s="3354"/>
      <c r="Q27" s="3354"/>
      <c r="R27" s="3355"/>
      <c r="S27" s="3353"/>
      <c r="T27" s="3354"/>
      <c r="U27" s="3355"/>
      <c r="V27" s="3370"/>
      <c r="W27" s="3357">
        <f>IF(W26&gt;0,W26*'Weighting and Rates PFF'!$C$55,0)</f>
        <v>2070548.1741666663</v>
      </c>
      <c r="X27" s="3358">
        <f>'Weighting and Rates PFF'!F63</f>
        <v>337888.66349999997</v>
      </c>
      <c r="Y27" s="3359">
        <f>SUM(C27:X27)</f>
        <v>7839612.1818333315</v>
      </c>
      <c r="AA27" s="3500" t="str">
        <f>B25</f>
        <v>IUPUI</v>
      </c>
      <c r="AB27" s="3789">
        <f>(C27+D27+E27+F27+G27)/$Y27</f>
        <v>0.40269530262168224</v>
      </c>
      <c r="AC27" s="3783">
        <f>(H27+I27+J27)/$Y27</f>
        <v>0.17900551933575665</v>
      </c>
      <c r="AD27" s="3783">
        <f>(K27+L27+M27)/$Y27</f>
        <v>0.11108540498785356</v>
      </c>
      <c r="AE27" s="3783">
        <f>SUM(N27:R27)/$Y27</f>
        <v>0</v>
      </c>
      <c r="AF27" s="3783">
        <f>SUM(S27:U27)/$Y27</f>
        <v>0</v>
      </c>
      <c r="AG27" s="3784">
        <f>SUM(V27:W27)/$Y27</f>
        <v>0.26411359722164962</v>
      </c>
      <c r="AH27" s="3785">
        <f>X27/$Y27</f>
        <v>4.3100175833057988E-2</v>
      </c>
    </row>
    <row r="28" spans="2:34">
      <c r="B28" s="3261" t="s">
        <v>269</v>
      </c>
      <c r="C28" s="3371"/>
      <c r="D28" s="3372"/>
      <c r="E28" s="3373"/>
      <c r="F28" s="3373"/>
      <c r="G28" s="3374"/>
      <c r="H28" s="3340"/>
      <c r="I28" s="3342"/>
      <c r="J28" s="3344"/>
      <c r="K28" s="3340"/>
      <c r="L28" s="3342"/>
      <c r="M28" s="3344"/>
      <c r="N28" s="3340"/>
      <c r="O28" s="3342"/>
      <c r="P28" s="3342"/>
      <c r="Q28" s="3342"/>
      <c r="R28" s="3344"/>
      <c r="S28" s="3340"/>
      <c r="T28" s="3342"/>
      <c r="U28" s="3344"/>
      <c r="V28" s="3360"/>
      <c r="W28" s="3361"/>
      <c r="X28" s="3345"/>
      <c r="Y28" s="3338"/>
      <c r="AA28" s="3786"/>
      <c r="AB28" s="3481"/>
      <c r="AC28" s="3787"/>
      <c r="AD28" s="3787"/>
      <c r="AE28" s="3787"/>
      <c r="AF28" s="3787"/>
      <c r="AG28" s="3787"/>
      <c r="AH28" s="3788"/>
    </row>
    <row r="29" spans="2:34" s="3295" customFormat="1">
      <c r="B29" s="3375" t="s">
        <v>280</v>
      </c>
      <c r="C29" s="3371"/>
      <c r="D29" s="3372"/>
      <c r="E29" s="3373">
        <f>E8+E11+E14+E17+E20+E23+E26</f>
        <v>661.99999999999955</v>
      </c>
      <c r="F29" s="3373">
        <f t="shared" ref="E29:G30" si="0">F8+F11+F14+F17+F20+F23+F26</f>
        <v>170.33333333333331</v>
      </c>
      <c r="G29" s="3374">
        <f t="shared" si="0"/>
        <v>0</v>
      </c>
      <c r="H29" s="3371"/>
      <c r="I29" s="3373"/>
      <c r="J29" s="3376">
        <f t="shared" ref="J29" si="1">J8+J11+J14+J17+J20+J23+J26</f>
        <v>622.33333333333337</v>
      </c>
      <c r="K29" s="3371">
        <f t="shared" ref="K29:M29" si="2">K8+K11+K14+K17+K20+K23+K26</f>
        <v>111.99999999999989</v>
      </c>
      <c r="L29" s="3373">
        <f t="shared" si="2"/>
        <v>25.000000000000021</v>
      </c>
      <c r="M29" s="3376">
        <f t="shared" si="2"/>
        <v>8.6666666666666661</v>
      </c>
      <c r="N29" s="3371"/>
      <c r="O29" s="3373"/>
      <c r="P29" s="3373">
        <f>P8+P11+P14+P17+P20+P23+P26</f>
        <v>551.66666666666674</v>
      </c>
      <c r="Q29" s="3373"/>
      <c r="R29" s="3376">
        <f t="shared" ref="R29" si="3">R8+R11+R14+R17+R20+R23+R26</f>
        <v>476</v>
      </c>
      <c r="S29" s="3371"/>
      <c r="T29" s="3373"/>
      <c r="U29" s="3376"/>
      <c r="V29" s="3360"/>
      <c r="W29" s="3376">
        <f t="shared" ref="W29" si="4">W8+W11+W14+W17+W20+W23+W26</f>
        <v>277.33333333333337</v>
      </c>
      <c r="X29" s="3345"/>
      <c r="Y29" s="3346">
        <f>Y30/$Y$69</f>
        <v>0.30714149083622005</v>
      </c>
      <c r="AA29" s="3396"/>
      <c r="AB29" s="3491"/>
      <c r="AC29" s="3780"/>
      <c r="AD29" s="3780"/>
      <c r="AE29" s="3780"/>
      <c r="AF29" s="3780"/>
      <c r="AG29" s="3780"/>
      <c r="AH29" s="3781"/>
    </row>
    <row r="30" spans="2:34" s="3287" customFormat="1" ht="14.4" thickBot="1">
      <c r="B30" s="3377" t="s">
        <v>281</v>
      </c>
      <c r="C30" s="3378"/>
      <c r="D30" s="3379"/>
      <c r="E30" s="3380">
        <f t="shared" si="0"/>
        <v>5160289.9999999963</v>
      </c>
      <c r="F30" s="3380">
        <f t="shared" si="0"/>
        <v>663874.16666666663</v>
      </c>
      <c r="G30" s="3381">
        <f t="shared" si="0"/>
        <v>0</v>
      </c>
      <c r="H30" s="3378"/>
      <c r="I30" s="3380"/>
      <c r="J30" s="3382">
        <f t="shared" ref="J30" si="5">J9+J12+J15+J18+J21+J24+J27</f>
        <v>3424868.3633333333</v>
      </c>
      <c r="K30" s="3378">
        <f t="shared" ref="K30:M30" si="6">K9+K12+K15+K18+K21+K24+K27</f>
        <v>2183036.5199999982</v>
      </c>
      <c r="L30" s="3380">
        <f t="shared" si="6"/>
        <v>350823.71875000023</v>
      </c>
      <c r="M30" s="3382">
        <f t="shared" si="6"/>
        <v>59120.527916666666</v>
      </c>
      <c r="N30" s="3383"/>
      <c r="O30" s="3380"/>
      <c r="P30" s="3380">
        <f>P9+P12+P15+P18+P21+P24+P27</f>
        <v>422025.00000000006</v>
      </c>
      <c r="Q30" s="3380"/>
      <c r="R30" s="3382">
        <f t="shared" ref="R30" si="7">R9+R12+R15+R18+R21+R24+R27</f>
        <v>728280.00000000012</v>
      </c>
      <c r="S30" s="3378"/>
      <c r="T30" s="3380"/>
      <c r="U30" s="3382"/>
      <c r="V30" s="3383"/>
      <c r="W30" s="3384">
        <f>W9+W12+W15+W18+W21+W24+W27</f>
        <v>6356812.1066666683</v>
      </c>
      <c r="X30" s="3385">
        <f t="shared" ref="X30" si="8">X9+X12+X15+X18+X21+X24+X27</f>
        <v>1097935.6038149998</v>
      </c>
      <c r="Y30" s="3359">
        <f>SUM(C30:X30)</f>
        <v>20447066.007148329</v>
      </c>
      <c r="AA30" s="3796"/>
      <c r="AB30" s="3782">
        <f>(C30+D30+E30+F30+G30)/$Y30</f>
        <v>0.28484107033402861</v>
      </c>
      <c r="AC30" s="3783">
        <f>(H30+I30+J30)/$Y30</f>
        <v>0.16749925696606024</v>
      </c>
      <c r="AD30" s="3783">
        <f>(K30+L30+M30)/$Y30</f>
        <v>0.12681431975424517</v>
      </c>
      <c r="AE30" s="3783">
        <f>SUM(N30:R30)/$Y30</f>
        <v>5.625770463096523E-2</v>
      </c>
      <c r="AF30" s="3783">
        <f>SUM(S30:U30)/$Y30</f>
        <v>0</v>
      </c>
      <c r="AG30" s="3783">
        <f>SUM(V30:W30)/$Y30</f>
        <v>0.31089116181482057</v>
      </c>
      <c r="AH30" s="3785">
        <f>X30/$Y30</f>
        <v>5.3696486499880208E-2</v>
      </c>
    </row>
    <row r="31" spans="2:34">
      <c r="B31" s="3386"/>
      <c r="C31" s="3387"/>
      <c r="D31" s="3388"/>
      <c r="E31" s="3389"/>
      <c r="F31" s="3389"/>
      <c r="G31" s="3390"/>
      <c r="H31" s="3387"/>
      <c r="I31" s="3389"/>
      <c r="J31" s="3391"/>
      <c r="K31" s="3387"/>
      <c r="L31" s="3389"/>
      <c r="M31" s="3391"/>
      <c r="N31" s="3387"/>
      <c r="O31" s="3389"/>
      <c r="P31" s="3389"/>
      <c r="Q31" s="3389"/>
      <c r="R31" s="3391"/>
      <c r="S31" s="3387"/>
      <c r="T31" s="3389"/>
      <c r="U31" s="3391"/>
      <c r="V31" s="3392"/>
      <c r="W31" s="3393"/>
      <c r="X31" s="3394"/>
      <c r="Y31" s="3395"/>
      <c r="AA31" s="3797"/>
      <c r="AB31" s="3798"/>
      <c r="AC31" s="3799"/>
      <c r="AD31" s="3799"/>
      <c r="AE31" s="3799"/>
      <c r="AF31" s="3799"/>
      <c r="AG31" s="3799"/>
      <c r="AH31" s="3800"/>
    </row>
    <row r="32" spans="2:34">
      <c r="B32" s="3261" t="s">
        <v>270</v>
      </c>
      <c r="C32" s="3340"/>
      <c r="D32" s="3341"/>
      <c r="E32" s="3342"/>
      <c r="F32" s="3342"/>
      <c r="G32" s="3343"/>
      <c r="H32" s="3340"/>
      <c r="I32" s="3342"/>
      <c r="J32" s="3344"/>
      <c r="K32" s="3340"/>
      <c r="L32" s="3342"/>
      <c r="M32" s="3344"/>
      <c r="N32" s="3340"/>
      <c r="O32" s="3342"/>
      <c r="P32" s="3342"/>
      <c r="Q32" s="3342"/>
      <c r="R32" s="3344"/>
      <c r="S32" s="3340"/>
      <c r="T32" s="3342"/>
      <c r="U32" s="3344"/>
      <c r="V32" s="3360"/>
      <c r="W32" s="3361"/>
      <c r="X32" s="3345"/>
      <c r="Y32" s="3338"/>
      <c r="AA32" s="3432"/>
      <c r="AB32" s="3491"/>
      <c r="AC32" s="3780"/>
      <c r="AD32" s="3780"/>
      <c r="AE32" s="3780"/>
      <c r="AF32" s="3780"/>
      <c r="AG32" s="3780"/>
      <c r="AH32" s="3781"/>
    </row>
    <row r="33" spans="2:34" s="3295" customFormat="1">
      <c r="B33" s="3339" t="s">
        <v>280</v>
      </c>
      <c r="C33" s="3340"/>
      <c r="D33" s="3341"/>
      <c r="E33" s="3342">
        <f>IF('Overall Degree Completion PMS I'!$R107&gt;0,'Overall Degree Completion PMS I'!$R107,0)</f>
        <v>486.66666666666697</v>
      </c>
      <c r="F33" s="3342">
        <f>IF('Overall Degree Completion PMS I'!$R109&gt;0,'Overall Degree Completion PMS I'!$R109,0)</f>
        <v>1</v>
      </c>
      <c r="G33" s="3343">
        <f>IF('Overall Degree Completion PMS I'!$R111&gt;0,'Overall Degree Completion PMS I'!$R111,0)</f>
        <v>0</v>
      </c>
      <c r="H33" s="3340"/>
      <c r="I33" s="3342"/>
      <c r="J33" s="3344">
        <f>IF('At-Risk Student Degree PMS II'!$R75&gt;0,'At-Risk Student Degree PMS II'!$R75,0)</f>
        <v>257.33333333333337</v>
      </c>
      <c r="K33" s="3340">
        <f>IF('High Impact Degree PMS III'!$R31&gt;0,'High Impact Degree PMS III'!$R31,0)</f>
        <v>171</v>
      </c>
      <c r="L33" s="3342">
        <f>IF('High Impact Degree PMS III'!$R33&gt;0,'High Impact Degree PMS III'!$R33,0)</f>
        <v>11.666666666666657</v>
      </c>
      <c r="M33" s="3344">
        <f>IF('High Impact Degree PMS III'!$R35&gt;0,'High Impact Degree PMS III'!$R35,0)</f>
        <v>0</v>
      </c>
      <c r="N33" s="3340"/>
      <c r="O33" s="3342"/>
      <c r="P33" s="3342"/>
      <c r="Q33" s="3342"/>
      <c r="R33" s="3344"/>
      <c r="S33" s="3340"/>
      <c r="T33" s="3342"/>
      <c r="U33" s="3344"/>
      <c r="V33" s="3363"/>
      <c r="W33" s="3344">
        <f>IF('On-time Graduation Rate PMS VI'!$R102&gt;0,'On-time Graduation Rate PMS VI'!$R102,0)</f>
        <v>274.66666666666652</v>
      </c>
      <c r="X33" s="3345" t="str">
        <f>'Institutional Eff PMS VII'!X25</f>
        <v>SIG/SIG</v>
      </c>
      <c r="Y33" s="3346">
        <f>Y34/$Y$69</f>
        <v>0.24174446634980684</v>
      </c>
      <c r="AA33" s="3396"/>
      <c r="AB33" s="3491"/>
      <c r="AC33" s="3780"/>
      <c r="AD33" s="3780"/>
      <c r="AE33" s="3780"/>
      <c r="AF33" s="3780"/>
      <c r="AG33" s="3780"/>
      <c r="AH33" s="3781"/>
    </row>
    <row r="34" spans="2:34" s="3366" customFormat="1" ht="14.4" thickBot="1">
      <c r="B34" s="3367" t="s">
        <v>281</v>
      </c>
      <c r="C34" s="3353"/>
      <c r="D34" s="3368"/>
      <c r="E34" s="3354">
        <f>VLOOKUP(E$6,'Weighting and Rates PFF'!$B$30:$C$34,2,0)*E33</f>
        <v>3793566.6666666688</v>
      </c>
      <c r="F34" s="3354">
        <f>VLOOKUP(F$6,'Weighting and Rates PFF'!$B$30:$C$34,2,0)*F33</f>
        <v>3897.5</v>
      </c>
      <c r="G34" s="3369">
        <f>VLOOKUP(G$6,'Weighting and Rates PFF'!$B$30:$C$34,2,0)*G33</f>
        <v>0</v>
      </c>
      <c r="H34" s="3353"/>
      <c r="I34" s="3354"/>
      <c r="J34" s="3355">
        <f>VLOOKUP(J$6,'Weighting and Rates PFF'!$B$36:$C$38,2,0)*J33</f>
        <v>1416174.8133333335</v>
      </c>
      <c r="K34" s="3353">
        <f>VLOOKUP(K$6,'Weighting and Rates PFF'!$B$40:$C$42,2,0)*K33</f>
        <v>3333028.9725000006</v>
      </c>
      <c r="L34" s="3354">
        <f>VLOOKUP(L$6,'Weighting and Rates PFF'!$B$40:$C$42,2,0)*L33</f>
        <v>163717.73541666652</v>
      </c>
      <c r="M34" s="3355">
        <f>VLOOKUP(M$6,'Weighting and Rates PFF'!$B$40:$C$42,2,0)*M33</f>
        <v>0</v>
      </c>
      <c r="N34" s="3370"/>
      <c r="O34" s="3354"/>
      <c r="P34" s="3354"/>
      <c r="Q34" s="3354"/>
      <c r="R34" s="3355"/>
      <c r="S34" s="3353"/>
      <c r="T34" s="3354"/>
      <c r="U34" s="3355"/>
      <c r="V34" s="3370"/>
      <c r="W34" s="3357">
        <f>IF(W33&gt;0,W33*'Weighting and Rates PFF'!$C$55,0)</f>
        <v>6295688.9133333303</v>
      </c>
      <c r="X34" s="3358">
        <f>'Weighting and Rates PFF'!F64</f>
        <v>1087371.6044699999</v>
      </c>
      <c r="Y34" s="3359">
        <f>SUM(C34:X34)</f>
        <v>16093446.205719998</v>
      </c>
      <c r="AA34" s="3500" t="str">
        <f>B32</f>
        <v>PUWL</v>
      </c>
      <c r="AB34" s="3789">
        <f>(C34+D34+E34+F34+G34)/$Y34</f>
        <v>0.23596339268322522</v>
      </c>
      <c r="AC34" s="3783">
        <f>(H34+I34+J34)/$Y34</f>
        <v>8.79969892856131E-2</v>
      </c>
      <c r="AD34" s="3783">
        <f>(K34+L34+M34)/$Y34</f>
        <v>0.21727768330153174</v>
      </c>
      <c r="AE34" s="3783">
        <f>SUM(N34:R34)/$Y34</f>
        <v>0</v>
      </c>
      <c r="AF34" s="3783">
        <f>SUM(S34:U34)/$Y34</f>
        <v>0</v>
      </c>
      <c r="AG34" s="3784">
        <f>SUM(V34:W34)/$Y34</f>
        <v>0.39119582175604445</v>
      </c>
      <c r="AH34" s="3785">
        <f>X34/$Y34</f>
        <v>6.7566112973585599E-2</v>
      </c>
    </row>
    <row r="35" spans="2:34">
      <c r="B35" s="3261" t="s">
        <v>271</v>
      </c>
      <c r="C35" s="3340"/>
      <c r="D35" s="3341"/>
      <c r="E35" s="3342"/>
      <c r="F35" s="3342"/>
      <c r="G35" s="3343"/>
      <c r="H35" s="3340"/>
      <c r="I35" s="3342"/>
      <c r="J35" s="3344"/>
      <c r="K35" s="3340"/>
      <c r="L35" s="3342"/>
      <c r="M35" s="3344"/>
      <c r="N35" s="3340"/>
      <c r="O35" s="3342"/>
      <c r="P35" s="3342"/>
      <c r="Q35" s="3342"/>
      <c r="R35" s="3344"/>
      <c r="S35" s="3340"/>
      <c r="T35" s="3342"/>
      <c r="U35" s="3344"/>
      <c r="V35" s="3363"/>
      <c r="W35" s="3361"/>
      <c r="X35" s="3345"/>
      <c r="Y35" s="3338"/>
      <c r="AA35" s="3786"/>
      <c r="AB35" s="3481"/>
      <c r="AC35" s="3787"/>
      <c r="AD35" s="3787"/>
      <c r="AE35" s="3787"/>
      <c r="AF35" s="3787"/>
      <c r="AG35" s="3787"/>
      <c r="AH35" s="3788"/>
    </row>
    <row r="36" spans="2:34" s="3295" customFormat="1">
      <c r="B36" s="3339" t="s">
        <v>280</v>
      </c>
      <c r="C36" s="3340"/>
      <c r="D36" s="3341"/>
      <c r="E36" s="3342">
        <f>IF('Overall Degree Completion PMS I'!$R119&gt;0,'Overall Degree Completion PMS I'!$R119,0)</f>
        <v>65.666666666666629</v>
      </c>
      <c r="F36" s="3342">
        <f>IF('Overall Degree Completion PMS I'!$R121&gt;0,'Overall Degree Completion PMS I'!$R121,0)</f>
        <v>4</v>
      </c>
      <c r="G36" s="3343">
        <f>IF('Overall Degree Completion PMS I'!$R123&gt;0,'Overall Degree Completion PMS I'!$R123,0)</f>
        <v>0</v>
      </c>
      <c r="H36" s="3340"/>
      <c r="I36" s="3342"/>
      <c r="J36" s="3344">
        <f>IF('At-Risk Student Degree PMS II'!$R83&gt;0,'At-Risk Student Degree PMS II'!$R83,0)</f>
        <v>84.000000000000028</v>
      </c>
      <c r="K36" s="3340"/>
      <c r="L36" s="3342"/>
      <c r="M36" s="3344"/>
      <c r="N36" s="3362"/>
      <c r="O36" s="3342"/>
      <c r="P36" s="3342">
        <f>IF('Student Persistence PMS IV'!$R79&gt;0,'Student Persistence PMS IV'!$R79,0)</f>
        <v>67</v>
      </c>
      <c r="Q36" s="3342"/>
      <c r="R36" s="3344">
        <f>IF('Student Persistence PMS IV'!$R80&gt;0,'Student Persistence PMS IV'!$R80,0)</f>
        <v>84</v>
      </c>
      <c r="S36" s="3340"/>
      <c r="T36" s="3342"/>
      <c r="U36" s="3344"/>
      <c r="V36" s="3363"/>
      <c r="W36" s="3344">
        <f>IF('On-time Graduation Rate PMS VI'!$R113&gt;0,'On-time Graduation Rate PMS VI'!$R113,0)</f>
        <v>15.666666666666664</v>
      </c>
      <c r="X36" s="3345" t="str">
        <f>'Institutional Eff PMS VII'!X35</f>
        <v>MOD/MOD</v>
      </c>
      <c r="Y36" s="3346">
        <f>Y37/$Y$69</f>
        <v>2.386901257403827E-2</v>
      </c>
      <c r="AA36" s="3396"/>
      <c r="AB36" s="3491"/>
      <c r="AC36" s="3780"/>
      <c r="AD36" s="3780"/>
      <c r="AE36" s="3780"/>
      <c r="AF36" s="3780"/>
      <c r="AG36" s="3780"/>
      <c r="AH36" s="3781"/>
    </row>
    <row r="37" spans="2:34" s="3366" customFormat="1" ht="14.4" thickBot="1">
      <c r="B37" s="3367" t="s">
        <v>281</v>
      </c>
      <c r="C37" s="3353"/>
      <c r="D37" s="3368"/>
      <c r="E37" s="3354">
        <f>VLOOKUP(E$6,'Weighting and Rates PFF'!$B$30:$C$34,2,0)*E36</f>
        <v>511871.6666666664</v>
      </c>
      <c r="F37" s="3354">
        <f>VLOOKUP(F$6,'Weighting and Rates PFF'!$B$30:$C$34,2,0)*F36</f>
        <v>15590</v>
      </c>
      <c r="G37" s="3369">
        <f>VLOOKUP(G$6,'Weighting and Rates PFF'!$B$30:$C$34,2,0)*G36</f>
        <v>0</v>
      </c>
      <c r="H37" s="3353"/>
      <c r="I37" s="3354"/>
      <c r="J37" s="3355">
        <f>VLOOKUP(J$6,'Weighting and Rates PFF'!$B$36:$C$38,2,0)*J36</f>
        <v>462274.68000000011</v>
      </c>
      <c r="K37" s="3353"/>
      <c r="L37" s="3354"/>
      <c r="M37" s="3355"/>
      <c r="N37" s="3370"/>
      <c r="O37" s="3354"/>
      <c r="P37" s="3354">
        <f>VLOOKUP(P$6,'Weighting and Rates PFF'!$B$44:$C$48,2,0)*'Summary of PFF Metrics 2014'!P36</f>
        <v>51255</v>
      </c>
      <c r="Q37" s="3354"/>
      <c r="R37" s="3355">
        <f>VLOOKUP(R$6,'Weighting and Rates PFF'!$B$44:$C$48,2,0)*'Summary of PFF Metrics 2014'!R36</f>
        <v>128520</v>
      </c>
      <c r="S37" s="3353"/>
      <c r="T37" s="3354"/>
      <c r="U37" s="3355"/>
      <c r="V37" s="3370"/>
      <c r="W37" s="3357">
        <f>IF(W36&gt;0,W36*'Weighting and Rates PFF'!$C$55,0)</f>
        <v>359098.7608333333</v>
      </c>
      <c r="X37" s="3358">
        <f>'Weighting and Rates PFF'!F65</f>
        <v>60401.114324999995</v>
      </c>
      <c r="Y37" s="3359">
        <f>SUM(C37:X37)</f>
        <v>1589011.2218249997</v>
      </c>
      <c r="AA37" s="3500" t="str">
        <f>B35</f>
        <v>PUC</v>
      </c>
      <c r="AB37" s="3789">
        <f>(C37+D37+E37+F37+G37)/$Y37</f>
        <v>0.33194332388720954</v>
      </c>
      <c r="AC37" s="3783">
        <f>(H37+I37+J37)/$Y37</f>
        <v>0.290919707583356</v>
      </c>
      <c r="AD37" s="3783">
        <f>(K37+L37+M37)/$Y37</f>
        <v>0</v>
      </c>
      <c r="AE37" s="3783">
        <f>SUM(N37:R37)/$Y37</f>
        <v>0.11313639421219827</v>
      </c>
      <c r="AF37" s="3783">
        <f>SUM(S37:U37)/$Y37</f>
        <v>0</v>
      </c>
      <c r="AG37" s="3783">
        <f>SUM(V37:W37)/$Y37</f>
        <v>0.22598881361007872</v>
      </c>
      <c r="AH37" s="3790">
        <f>X37/$Y37</f>
        <v>3.8011760707157588E-2</v>
      </c>
    </row>
    <row r="38" spans="2:34">
      <c r="B38" s="3261" t="s">
        <v>272</v>
      </c>
      <c r="C38" s="3340"/>
      <c r="D38" s="3341"/>
      <c r="E38" s="3342"/>
      <c r="F38" s="3342"/>
      <c r="G38" s="3343"/>
      <c r="H38" s="3340"/>
      <c r="I38" s="3342"/>
      <c r="J38" s="3344"/>
      <c r="K38" s="3340"/>
      <c r="L38" s="3342"/>
      <c r="M38" s="3344"/>
      <c r="N38" s="3340"/>
      <c r="O38" s="3342"/>
      <c r="P38" s="3342"/>
      <c r="Q38" s="3342"/>
      <c r="R38" s="3344"/>
      <c r="S38" s="3340"/>
      <c r="T38" s="3342"/>
      <c r="U38" s="3344"/>
      <c r="V38" s="3363"/>
      <c r="W38" s="3361"/>
      <c r="X38" s="3345"/>
      <c r="Y38" s="3338"/>
      <c r="AA38" s="3786"/>
      <c r="AB38" s="3481"/>
      <c r="AC38" s="3787"/>
      <c r="AD38" s="3787"/>
      <c r="AE38" s="3787"/>
      <c r="AF38" s="3787"/>
      <c r="AG38" s="3787"/>
      <c r="AH38" s="3788"/>
    </row>
    <row r="39" spans="2:34" s="3295" customFormat="1">
      <c r="B39" s="3339" t="s">
        <v>280</v>
      </c>
      <c r="C39" s="3340"/>
      <c r="D39" s="3341"/>
      <c r="E39" s="3342">
        <f>IF('Overall Degree Completion PMS I'!$R131&gt;0,'Overall Degree Completion PMS I'!$R131,0)</f>
        <v>81</v>
      </c>
      <c r="F39" s="3342">
        <f>IF('Overall Degree Completion PMS I'!$R133&gt;0,'Overall Degree Completion PMS I'!$R133,0)</f>
        <v>26.333333333333343</v>
      </c>
      <c r="G39" s="3343">
        <f>IF('Overall Degree Completion PMS I'!$R135&gt;0,'Overall Degree Completion PMS I'!$R135,0)</f>
        <v>0</v>
      </c>
      <c r="H39" s="3340"/>
      <c r="I39" s="3342"/>
      <c r="J39" s="3344">
        <f>IF('At-Risk Student Degree PMS II'!$R91&gt;0,'At-Risk Student Degree PMS II'!$R91,0)</f>
        <v>98.666666666666657</v>
      </c>
      <c r="K39" s="3340"/>
      <c r="L39" s="3342"/>
      <c r="M39" s="3344"/>
      <c r="N39" s="3362"/>
      <c r="O39" s="3342"/>
      <c r="P39" s="3342">
        <f>IF('Student Persistence PMS IV'!$R90&gt;0,'Student Persistence PMS IV'!$R90,0)</f>
        <v>35.666666666666515</v>
      </c>
      <c r="Q39" s="3342"/>
      <c r="R39" s="3344">
        <f>IF('Student Persistence PMS IV'!$R91&gt;0,'Student Persistence PMS IV'!$R91,0)</f>
        <v>0</v>
      </c>
      <c r="S39" s="3340"/>
      <c r="T39" s="3342"/>
      <c r="U39" s="3344"/>
      <c r="V39" s="3363"/>
      <c r="W39" s="3344">
        <f>IF('On-time Graduation Rate PMS VI'!$R124&gt;0,'On-time Graduation Rate PMS VI'!$R124,0)</f>
        <v>0</v>
      </c>
      <c r="X39" s="3345" t="str">
        <f>'Institutional Eff PMS VII'!X45</f>
        <v>MOD/NO</v>
      </c>
      <c r="Y39" s="3346">
        <f>Y40/$Y$69</f>
        <v>1.9592332374845735E-2</v>
      </c>
      <c r="AA39" s="3396"/>
      <c r="AB39" s="3491"/>
      <c r="AC39" s="3780"/>
      <c r="AD39" s="3780"/>
      <c r="AE39" s="3780"/>
      <c r="AF39" s="3780"/>
      <c r="AG39" s="3780"/>
      <c r="AH39" s="3781"/>
    </row>
    <row r="40" spans="2:34" s="3366" customFormat="1" ht="14.4" thickBot="1">
      <c r="B40" s="3367" t="s">
        <v>281</v>
      </c>
      <c r="C40" s="3353"/>
      <c r="D40" s="3368"/>
      <c r="E40" s="3354">
        <f>VLOOKUP(E$6,'Weighting and Rates PFF'!$B$30:$C$34,2,0)*E39</f>
        <v>631395</v>
      </c>
      <c r="F40" s="3354">
        <f>VLOOKUP(F$6,'Weighting and Rates PFF'!$B$30:$C$34,2,0)*F39</f>
        <v>102634.1666666667</v>
      </c>
      <c r="G40" s="3369">
        <f>VLOOKUP(G$6,'Weighting and Rates PFF'!$B$30:$C$34,2,0)*G39</f>
        <v>0</v>
      </c>
      <c r="H40" s="3353"/>
      <c r="I40" s="3354"/>
      <c r="J40" s="3355">
        <f>VLOOKUP(J$6,'Weighting and Rates PFF'!$B$36:$C$38,2,0)*J39</f>
        <v>542989.30666666653</v>
      </c>
      <c r="K40" s="3353"/>
      <c r="L40" s="3354"/>
      <c r="M40" s="3355"/>
      <c r="N40" s="3370"/>
      <c r="O40" s="3354"/>
      <c r="P40" s="3354">
        <f>VLOOKUP(P$6,'Weighting and Rates PFF'!$B$44:$C$48,2,0)*'Summary of PFF Metrics 2014'!P39</f>
        <v>27284.999999999884</v>
      </c>
      <c r="Q40" s="3354"/>
      <c r="R40" s="3355">
        <f>VLOOKUP(R$6,'Weighting and Rates PFF'!$B$44:$C$48,2,0)*'Summary of PFF Metrics 2014'!R39</f>
        <v>0</v>
      </c>
      <c r="S40" s="3353"/>
      <c r="T40" s="3354"/>
      <c r="U40" s="3355"/>
      <c r="V40" s="3370"/>
      <c r="W40" s="3357">
        <f>IF(W39&gt;0,W39*'Weighting and Rates PFF'!$C$55,0)</f>
        <v>0</v>
      </c>
      <c r="X40" s="3358">
        <f>'Weighting and Rates PFF'!F66</f>
        <v>0</v>
      </c>
      <c r="Y40" s="3359">
        <f>SUM(C40:X40)</f>
        <v>1304303.4733333332</v>
      </c>
      <c r="AA40" s="3500" t="str">
        <f>B38</f>
        <v>IPFW</v>
      </c>
      <c r="AB40" s="3789">
        <f>(C40+D40+E40+F40+G40)/$Y40</f>
        <v>0.5627748309147339</v>
      </c>
      <c r="AC40" s="3783">
        <f>(H40+I40+J40)/$Y40</f>
        <v>0.41630595775305274</v>
      </c>
      <c r="AD40" s="3783">
        <f>(K40+L40+M40)/$Y40</f>
        <v>0</v>
      </c>
      <c r="AE40" s="3783">
        <f>SUM(N40:R40)/$Y40</f>
        <v>2.091921133221334E-2</v>
      </c>
      <c r="AF40" s="3783">
        <f>SUM(S40:U40)/$Y40</f>
        <v>0</v>
      </c>
      <c r="AG40" s="3783">
        <f>SUM(V40:W40)/$Y40</f>
        <v>0</v>
      </c>
      <c r="AH40" s="3790">
        <f>X40/$Y40</f>
        <v>0</v>
      </c>
    </row>
    <row r="41" spans="2:34">
      <c r="B41" s="3261" t="s">
        <v>273</v>
      </c>
      <c r="C41" s="3340"/>
      <c r="D41" s="3341"/>
      <c r="E41" s="3342"/>
      <c r="F41" s="3342"/>
      <c r="G41" s="3343"/>
      <c r="H41" s="3340"/>
      <c r="I41" s="3342"/>
      <c r="J41" s="3344"/>
      <c r="K41" s="3340"/>
      <c r="L41" s="3342"/>
      <c r="M41" s="3344"/>
      <c r="N41" s="3340"/>
      <c r="O41" s="3342"/>
      <c r="P41" s="3342"/>
      <c r="Q41" s="3342"/>
      <c r="R41" s="3344"/>
      <c r="S41" s="3340"/>
      <c r="T41" s="3342"/>
      <c r="U41" s="3344"/>
      <c r="V41" s="3363"/>
      <c r="W41" s="3361"/>
      <c r="X41" s="3345"/>
      <c r="Y41" s="3338"/>
      <c r="AA41" s="3786"/>
      <c r="AB41" s="3481"/>
      <c r="AC41" s="3787"/>
      <c r="AD41" s="3787"/>
      <c r="AE41" s="3787"/>
      <c r="AF41" s="3787"/>
      <c r="AG41" s="3787"/>
      <c r="AH41" s="3788"/>
    </row>
    <row r="42" spans="2:34" s="3295" customFormat="1">
      <c r="B42" s="3339" t="s">
        <v>280</v>
      </c>
      <c r="C42" s="3340"/>
      <c r="D42" s="3341"/>
      <c r="E42" s="3342">
        <f>IF('Overall Degree Completion PMS I'!$R143&gt;0,'Overall Degree Completion PMS I'!$R143,0)</f>
        <v>16.666666666666686</v>
      </c>
      <c r="F42" s="3342">
        <f>IF('Overall Degree Completion PMS I'!$R145&gt;0,'Overall Degree Completion PMS I'!$R145,0)</f>
        <v>18.333333333333336</v>
      </c>
      <c r="G42" s="3343">
        <f>IF('Overall Degree Completion PMS I'!$R147&gt;0,'Overall Degree Completion PMS I'!$R147,0)</f>
        <v>0</v>
      </c>
      <c r="H42" s="3340"/>
      <c r="I42" s="3342"/>
      <c r="J42" s="3344">
        <f>IF('At-Risk Student Degree PMS II'!$R99&gt;0,'At-Risk Student Degree PMS II'!$R99,0)</f>
        <v>20.666666666666657</v>
      </c>
      <c r="K42" s="3340"/>
      <c r="L42" s="3342"/>
      <c r="M42" s="3344"/>
      <c r="N42" s="3362"/>
      <c r="O42" s="3342"/>
      <c r="P42" s="3342">
        <f>IF('Student Persistence PMS IV'!$R101&gt;0,'Student Persistence PMS IV'!$R101,0)</f>
        <v>57.666666666666629</v>
      </c>
      <c r="Q42" s="3342"/>
      <c r="R42" s="3344">
        <f>IF('Student Persistence PMS IV'!$R102&gt;0,'Student Persistence PMS IV'!$R102,0)</f>
        <v>0</v>
      </c>
      <c r="S42" s="3340"/>
      <c r="T42" s="3342"/>
      <c r="U42" s="3344"/>
      <c r="V42" s="3363"/>
      <c r="W42" s="3344">
        <f>IF('On-time Graduation Rate PMS VI'!$R135&gt;0,'On-time Graduation Rate PMS VI'!$R135,0)</f>
        <v>11.333333333333332</v>
      </c>
      <c r="X42" s="3345" t="str">
        <f>'Institutional Eff PMS VII'!X55</f>
        <v>MOD/SIG</v>
      </c>
      <c r="Y42" s="3346">
        <f>Y43/$Y$69</f>
        <v>1.0034522206153942E-2</v>
      </c>
      <c r="AA42" s="3396"/>
      <c r="AB42" s="3491"/>
      <c r="AC42" s="3780"/>
      <c r="AD42" s="3780"/>
      <c r="AE42" s="3780"/>
      <c r="AF42" s="3780"/>
      <c r="AG42" s="3780"/>
      <c r="AH42" s="3781"/>
    </row>
    <row r="43" spans="2:34" s="3366" customFormat="1" ht="14.4" thickBot="1">
      <c r="B43" s="3367" t="s">
        <v>281</v>
      </c>
      <c r="C43" s="3353"/>
      <c r="D43" s="3368"/>
      <c r="E43" s="3354">
        <f>VLOOKUP(E$6,'Weighting and Rates PFF'!$B$30:$C$34,2,0)*E42</f>
        <v>129916.66666666682</v>
      </c>
      <c r="F43" s="3354">
        <f>VLOOKUP(F$6,'Weighting and Rates PFF'!$B$30:$C$34,2,0)*F42</f>
        <v>71454.166666666672</v>
      </c>
      <c r="G43" s="3369">
        <f>VLOOKUP(G$6,'Weighting and Rates PFF'!$B$30:$C$34,2,0)*G42</f>
        <v>0</v>
      </c>
      <c r="H43" s="3353"/>
      <c r="I43" s="3354"/>
      <c r="J43" s="3355">
        <f>VLOOKUP(J$6,'Weighting and Rates PFF'!$B$36:$C$38,2,0)*J42</f>
        <v>113734.2466666666</v>
      </c>
      <c r="K43" s="3353"/>
      <c r="L43" s="3354"/>
      <c r="M43" s="3355"/>
      <c r="N43" s="3370"/>
      <c r="O43" s="3354"/>
      <c r="P43" s="3354">
        <f>VLOOKUP(P$6,'Weighting and Rates PFF'!$B$44:$C$48,2,0)*'Summary of PFF Metrics 2014'!P42</f>
        <v>44114.999999999971</v>
      </c>
      <c r="Q43" s="3354"/>
      <c r="R43" s="3355">
        <f>VLOOKUP(R$6,'Weighting and Rates PFF'!$B$44:$C$48,2,0)*'Summary of PFF Metrics 2014'!R42</f>
        <v>0</v>
      </c>
      <c r="S43" s="3353"/>
      <c r="T43" s="3354"/>
      <c r="U43" s="3355"/>
      <c r="V43" s="3370"/>
      <c r="W43" s="3357">
        <f>IF(W42&gt;0,W42*'Weighting and Rates PFF'!$C$55,0)</f>
        <v>259773.57166666666</v>
      </c>
      <c r="X43" s="3358">
        <f>'Weighting and Rates PFF'!F67</f>
        <v>49025.954999999994</v>
      </c>
      <c r="Y43" s="3359">
        <f>SUM(C43:X43)</f>
        <v>668019.60666666669</v>
      </c>
      <c r="AA43" s="3500" t="str">
        <f>B41</f>
        <v>PUNC</v>
      </c>
      <c r="AB43" s="3782">
        <f>(C43+D43+E43+F43+G43)/$Y43</f>
        <v>0.30144449552633412</v>
      </c>
      <c r="AC43" s="3783">
        <f>(H43+I43+J43)/$Y43</f>
        <v>0.17025585107327329</v>
      </c>
      <c r="AD43" s="3783">
        <f>(K43+L43+M43)/$Y43</f>
        <v>0</v>
      </c>
      <c r="AE43" s="3783">
        <f>SUM(N43:R43)/$Y43</f>
        <v>6.603848084658509E-2</v>
      </c>
      <c r="AF43" s="3783">
        <f>SUM(S43:U43)/$Y43</f>
        <v>0</v>
      </c>
      <c r="AG43" s="3784">
        <f>SUM(V43:W43)/$Y43</f>
        <v>0.3888711784417585</v>
      </c>
      <c r="AH43" s="3790">
        <f>X43/$Y43</f>
        <v>7.3389994112049051E-2</v>
      </c>
    </row>
    <row r="44" spans="2:34" s="3261" customFormat="1">
      <c r="B44" s="3261" t="s">
        <v>274</v>
      </c>
      <c r="C44" s="3371"/>
      <c r="D44" s="3372"/>
      <c r="E44" s="3373"/>
      <c r="F44" s="3373"/>
      <c r="G44" s="3374"/>
      <c r="H44" s="3371"/>
      <c r="I44" s="3373"/>
      <c r="J44" s="3376"/>
      <c r="K44" s="3371"/>
      <c r="L44" s="3373"/>
      <c r="M44" s="3376"/>
      <c r="N44" s="3371"/>
      <c r="O44" s="3373"/>
      <c r="P44" s="3373"/>
      <c r="Q44" s="3373"/>
      <c r="R44" s="3376"/>
      <c r="S44" s="3371"/>
      <c r="T44" s="3373"/>
      <c r="U44" s="3376"/>
      <c r="V44" s="3396"/>
      <c r="W44" s="3397"/>
      <c r="X44" s="3398"/>
      <c r="Y44" s="3338"/>
      <c r="AA44" s="3797"/>
      <c r="AB44" s="3798"/>
      <c r="AC44" s="3799"/>
      <c r="AD44" s="3799"/>
      <c r="AE44" s="3799"/>
      <c r="AF44" s="3799"/>
      <c r="AG44" s="3799"/>
      <c r="AH44" s="3800"/>
    </row>
    <row r="45" spans="2:34" s="3399" customFormat="1">
      <c r="B45" s="3375" t="s">
        <v>280</v>
      </c>
      <c r="C45" s="3371"/>
      <c r="D45" s="3372"/>
      <c r="E45" s="3373">
        <f t="shared" ref="E45:G46" si="9">E33+E36+E39+E42</f>
        <v>650.00000000000023</v>
      </c>
      <c r="F45" s="3373">
        <f t="shared" si="9"/>
        <v>49.666666666666679</v>
      </c>
      <c r="G45" s="3374">
        <f t="shared" si="9"/>
        <v>0</v>
      </c>
      <c r="H45" s="3371"/>
      <c r="I45" s="3373"/>
      <c r="J45" s="3376">
        <f t="shared" ref="J45:M46" si="10">J33+J36+J39+J42</f>
        <v>460.66666666666663</v>
      </c>
      <c r="K45" s="3371">
        <f t="shared" si="10"/>
        <v>171</v>
      </c>
      <c r="L45" s="3373">
        <f t="shared" si="10"/>
        <v>11.666666666666657</v>
      </c>
      <c r="M45" s="3376">
        <f t="shared" si="10"/>
        <v>0</v>
      </c>
      <c r="N45" s="3371"/>
      <c r="O45" s="3373"/>
      <c r="P45" s="3373">
        <f>P33+P36+P39+P42</f>
        <v>160.33333333333314</v>
      </c>
      <c r="Q45" s="3373"/>
      <c r="R45" s="3376">
        <f>R33+R36+R39+R42</f>
        <v>84</v>
      </c>
      <c r="S45" s="3371"/>
      <c r="T45" s="3373"/>
      <c r="U45" s="3376"/>
      <c r="V45" s="3396"/>
      <c r="W45" s="3376">
        <f>W33+W36+W39+W42</f>
        <v>301.66666666666652</v>
      </c>
      <c r="X45" s="3398"/>
      <c r="Y45" s="3346">
        <f>Y46/$Y$69</f>
        <v>0.2952403335048448</v>
      </c>
      <c r="AA45" s="3396"/>
      <c r="AB45" s="3491"/>
      <c r="AC45" s="3780"/>
      <c r="AD45" s="3780"/>
      <c r="AE45" s="3780"/>
      <c r="AF45" s="3780"/>
      <c r="AG45" s="3780"/>
      <c r="AH45" s="3781"/>
    </row>
    <row r="46" spans="2:34" s="3287" customFormat="1" ht="14.4" thickBot="1">
      <c r="B46" s="3377" t="s">
        <v>281</v>
      </c>
      <c r="C46" s="3378"/>
      <c r="D46" s="3379"/>
      <c r="E46" s="3380">
        <f t="shared" si="9"/>
        <v>5066750.0000000019</v>
      </c>
      <c r="F46" s="3380">
        <f t="shared" si="9"/>
        <v>193575.83333333337</v>
      </c>
      <c r="G46" s="3381">
        <f t="shared" si="9"/>
        <v>0</v>
      </c>
      <c r="H46" s="3378"/>
      <c r="I46" s="3380"/>
      <c r="J46" s="3382">
        <f t="shared" si="10"/>
        <v>2535173.0466666669</v>
      </c>
      <c r="K46" s="3378">
        <f t="shared" si="10"/>
        <v>3333028.9725000006</v>
      </c>
      <c r="L46" s="3380">
        <f t="shared" si="10"/>
        <v>163717.73541666652</v>
      </c>
      <c r="M46" s="3382">
        <f t="shared" si="10"/>
        <v>0</v>
      </c>
      <c r="N46" s="3383"/>
      <c r="O46" s="3380"/>
      <c r="P46" s="3380">
        <f>P34+P37+P40+P43</f>
        <v>122654.99999999985</v>
      </c>
      <c r="Q46" s="3380"/>
      <c r="R46" s="3382">
        <f>R34+R37+R40+R43</f>
        <v>128520</v>
      </c>
      <c r="S46" s="3378"/>
      <c r="T46" s="3380"/>
      <c r="U46" s="3382"/>
      <c r="V46" s="3383"/>
      <c r="W46" s="3384">
        <f>W34+W37+W40+W43</f>
        <v>6914561.2458333299</v>
      </c>
      <c r="X46" s="3385">
        <f>X34+X37+X40+X43</f>
        <v>1196798.673795</v>
      </c>
      <c r="Y46" s="3359">
        <f>SUM(C46:X46)</f>
        <v>19654780.507544998</v>
      </c>
      <c r="AA46" s="3796"/>
      <c r="AB46" s="3782">
        <f>(C46+D46+E46+F46+G46)/$Y46</f>
        <v>0.26763594899032439</v>
      </c>
      <c r="AC46" s="3783">
        <f>(H46+I46+J46)/$Y46</f>
        <v>0.1289850601838812</v>
      </c>
      <c r="AD46" s="3783">
        <f>(K46+L46+M46)/$Y46</f>
        <v>0.17790820439711094</v>
      </c>
      <c r="AE46" s="3783">
        <f>SUM(N46:R46)/$Y46</f>
        <v>1.2779333755651955E-2</v>
      </c>
      <c r="AF46" s="3783">
        <f>SUM(S46:U46)/$Y46</f>
        <v>0</v>
      </c>
      <c r="AG46" s="3783">
        <f>SUM(V46:W46)/$Y46</f>
        <v>0.35180048147467208</v>
      </c>
      <c r="AH46" s="3785">
        <f>X46/$Y46</f>
        <v>6.0890971198359491E-2</v>
      </c>
    </row>
    <row r="47" spans="2:34">
      <c r="B47" s="3386"/>
      <c r="C47" s="3387"/>
      <c r="D47" s="3388"/>
      <c r="E47" s="3389"/>
      <c r="F47" s="3389"/>
      <c r="G47" s="3390"/>
      <c r="H47" s="3387"/>
      <c r="I47" s="3389"/>
      <c r="J47" s="3391"/>
      <c r="K47" s="3387"/>
      <c r="L47" s="3389"/>
      <c r="M47" s="3391"/>
      <c r="N47" s="3387"/>
      <c r="O47" s="3389"/>
      <c r="P47" s="3389"/>
      <c r="Q47" s="3389"/>
      <c r="R47" s="3391"/>
      <c r="S47" s="3387"/>
      <c r="T47" s="3389"/>
      <c r="U47" s="3391"/>
      <c r="V47" s="3392"/>
      <c r="W47" s="3393"/>
      <c r="X47" s="3394"/>
      <c r="Y47" s="3395"/>
      <c r="AA47" s="3797"/>
      <c r="AB47" s="3798"/>
      <c r="AC47" s="3799"/>
      <c r="AD47" s="3799"/>
      <c r="AE47" s="3799"/>
      <c r="AF47" s="3799"/>
      <c r="AG47" s="3799"/>
      <c r="AH47" s="3800"/>
    </row>
    <row r="48" spans="2:34">
      <c r="B48" s="3261" t="s">
        <v>275</v>
      </c>
      <c r="C48" s="3340"/>
      <c r="D48" s="3341"/>
      <c r="E48" s="3342"/>
      <c r="F48" s="3342"/>
      <c r="G48" s="3343"/>
      <c r="H48" s="3340"/>
      <c r="I48" s="3342"/>
      <c r="J48" s="3344"/>
      <c r="K48" s="3340"/>
      <c r="L48" s="3342"/>
      <c r="M48" s="3344"/>
      <c r="N48" s="3340"/>
      <c r="O48" s="3342"/>
      <c r="P48" s="3342"/>
      <c r="Q48" s="3342"/>
      <c r="R48" s="3344"/>
      <c r="S48" s="3340"/>
      <c r="T48" s="3342"/>
      <c r="U48" s="3344"/>
      <c r="V48" s="3360"/>
      <c r="W48" s="3361"/>
      <c r="X48" s="3345"/>
      <c r="Y48" s="3338"/>
      <c r="AA48" s="3432"/>
      <c r="AB48" s="3491"/>
      <c r="AC48" s="3780"/>
      <c r="AD48" s="3780"/>
      <c r="AE48" s="3780"/>
      <c r="AF48" s="3780"/>
      <c r="AG48" s="3780"/>
      <c r="AH48" s="3781"/>
    </row>
    <row r="49" spans="2:34" s="3295" customFormat="1">
      <c r="B49" s="3339" t="s">
        <v>280</v>
      </c>
      <c r="C49" s="3340"/>
      <c r="D49" s="3341"/>
      <c r="E49" s="3342">
        <f>IF('Overall Degree Completion PMS I'!$R155&gt;0,'Overall Degree Completion PMS I'!$R155,0)</f>
        <v>0</v>
      </c>
      <c r="F49" s="3342">
        <f>IF('Overall Degree Completion PMS I'!$R157&gt;0,'Overall Degree Completion PMS I'!$R157,0)</f>
        <v>0</v>
      </c>
      <c r="G49" s="3343">
        <f>IF('Overall Degree Completion PMS I'!$R159&gt;0,'Overall Degree Completion PMS I'!$R159,0)</f>
        <v>0</v>
      </c>
      <c r="H49" s="3340"/>
      <c r="I49" s="3342"/>
      <c r="J49" s="3344">
        <f>IF('At-Risk Student Degree PMS II'!$R107&gt;0,'At-Risk Student Degree PMS II'!$R107,0)</f>
        <v>35.333333333333314</v>
      </c>
      <c r="K49" s="3340"/>
      <c r="L49" s="3342"/>
      <c r="M49" s="3344"/>
      <c r="N49" s="3340"/>
      <c r="O49" s="3342"/>
      <c r="P49" s="3342">
        <f>IF('Student Persistence PMS IV'!$R112&gt;0,'Student Persistence PMS IV'!$R112,0)</f>
        <v>83.666666666666515</v>
      </c>
      <c r="Q49" s="3342"/>
      <c r="R49" s="3344">
        <f>IF('Student Persistence PMS IV'!$R113&gt;0,'Student Persistence PMS IV'!$R113,0)</f>
        <v>0</v>
      </c>
      <c r="S49" s="3340"/>
      <c r="T49" s="3342"/>
      <c r="U49" s="3344"/>
      <c r="V49" s="3363"/>
      <c r="W49" s="3344">
        <v>25</v>
      </c>
      <c r="X49" s="3345" t="str">
        <f>'Institutional Eff PMS VII'!X66</f>
        <v>SIG/SIG</v>
      </c>
      <c r="Y49" s="3346">
        <f>Y50/$Y$69</f>
        <v>1.721528817841049E-2</v>
      </c>
      <c r="AA49" s="3396"/>
      <c r="AB49" s="3491"/>
      <c r="AC49" s="3780"/>
      <c r="AD49" s="3780"/>
      <c r="AE49" s="3780"/>
      <c r="AF49" s="3780"/>
      <c r="AG49" s="3780"/>
      <c r="AH49" s="3781"/>
    </row>
    <row r="50" spans="2:34" s="3366" customFormat="1" ht="14.4" thickBot="1">
      <c r="B50" s="3367" t="s">
        <v>281</v>
      </c>
      <c r="C50" s="3353"/>
      <c r="D50" s="3368"/>
      <c r="E50" s="3354">
        <f>VLOOKUP(E$6,'Weighting and Rates PFF'!$B$30:$C$34,2,0)*E49</f>
        <v>0</v>
      </c>
      <c r="F50" s="3354">
        <f>VLOOKUP(F$6,'Weighting and Rates PFF'!$B$30:$C$34,2,0)*F49</f>
        <v>0</v>
      </c>
      <c r="G50" s="3369">
        <f>VLOOKUP(G$6,'Weighting and Rates PFF'!$B$30:$C$34,2,0)*G49</f>
        <v>0</v>
      </c>
      <c r="H50" s="3353"/>
      <c r="I50" s="3354"/>
      <c r="J50" s="3355">
        <f>VLOOKUP(J$6,'Weighting and Rates PFF'!$B$36:$C$38,2,0)*J49</f>
        <v>194448.87333333321</v>
      </c>
      <c r="K50" s="3353"/>
      <c r="L50" s="3354"/>
      <c r="M50" s="3355"/>
      <c r="N50" s="3370"/>
      <c r="O50" s="3354"/>
      <c r="P50" s="3354">
        <f>VLOOKUP(P$6,'Weighting and Rates PFF'!$B$44:$C$48,2,0)*'Summary of PFF Metrics 2014'!P49</f>
        <v>64004.999999999884</v>
      </c>
      <c r="Q50" s="3354"/>
      <c r="R50" s="3355">
        <f>VLOOKUP(R$6,'Weighting and Rates PFF'!$B$44:$C$48,2,0)*'Summary of PFF Metrics 2014'!R49</f>
        <v>0</v>
      </c>
      <c r="S50" s="3353"/>
      <c r="T50" s="3354"/>
      <c r="U50" s="3355"/>
      <c r="V50" s="3370"/>
      <c r="W50" s="3357">
        <f>IF(W49&gt;0,W49*'Weighting and Rates PFF'!$C$55,0)</f>
        <v>573029.9375</v>
      </c>
      <c r="X50" s="3358">
        <f>'Weighting and Rates PFF'!F68</f>
        <v>314574.74594999995</v>
      </c>
      <c r="Y50" s="3359">
        <f>SUM(C50:X50)</f>
        <v>1146058.556783333</v>
      </c>
      <c r="AA50" s="3500" t="str">
        <f>B48</f>
        <v>ISU</v>
      </c>
      <c r="AB50" s="3782">
        <f>(C50+D50+E50+F50+G50)/$Y50</f>
        <v>0</v>
      </c>
      <c r="AC50" s="3783">
        <f>(H50+I50+J50)/$Y50</f>
        <v>0.16966748529769457</v>
      </c>
      <c r="AD50" s="3783">
        <f>(K50+L50+M50)/$Y50</f>
        <v>0</v>
      </c>
      <c r="AE50" s="3783">
        <f>SUM(N50:R50)/$Y50</f>
        <v>5.5847931697001668E-2</v>
      </c>
      <c r="AF50" s="3783">
        <f>SUM(S50:U50)/$Y50</f>
        <v>0</v>
      </c>
      <c r="AG50" s="3784">
        <f>SUM(V50:W50)/$Y50</f>
        <v>0.50000057510877571</v>
      </c>
      <c r="AH50" s="3790">
        <f>X50/$Y50</f>
        <v>0.2744840078965281</v>
      </c>
    </row>
    <row r="51" spans="2:34">
      <c r="B51" s="3386"/>
      <c r="C51" s="3387"/>
      <c r="D51" s="3388"/>
      <c r="E51" s="3389"/>
      <c r="F51" s="3389"/>
      <c r="G51" s="3390"/>
      <c r="H51" s="3387"/>
      <c r="I51" s="3389"/>
      <c r="J51" s="3391"/>
      <c r="K51" s="3387"/>
      <c r="L51" s="3389"/>
      <c r="M51" s="3391"/>
      <c r="N51" s="3387"/>
      <c r="O51" s="3389"/>
      <c r="P51" s="3389"/>
      <c r="Q51" s="3389"/>
      <c r="R51" s="3391"/>
      <c r="S51" s="3387"/>
      <c r="T51" s="3389"/>
      <c r="U51" s="3391"/>
      <c r="V51" s="3392"/>
      <c r="W51" s="3393"/>
      <c r="X51" s="3394"/>
      <c r="Y51" s="3395"/>
      <c r="AA51" s="3797"/>
      <c r="AB51" s="3798"/>
      <c r="AC51" s="3799"/>
      <c r="AD51" s="3799"/>
      <c r="AE51" s="3799"/>
      <c r="AF51" s="3799"/>
      <c r="AG51" s="3799"/>
      <c r="AH51" s="3800"/>
    </row>
    <row r="52" spans="2:34">
      <c r="B52" s="3261" t="s">
        <v>276</v>
      </c>
      <c r="C52" s="3340"/>
      <c r="D52" s="3341"/>
      <c r="E52" s="3342"/>
      <c r="F52" s="3342"/>
      <c r="G52" s="3343"/>
      <c r="H52" s="3340"/>
      <c r="I52" s="3342"/>
      <c r="J52" s="3344"/>
      <c r="K52" s="3340"/>
      <c r="L52" s="3342"/>
      <c r="M52" s="3344"/>
      <c r="N52" s="3340"/>
      <c r="O52" s="3342"/>
      <c r="P52" s="3342"/>
      <c r="Q52" s="3342"/>
      <c r="R52" s="3344"/>
      <c r="S52" s="3340"/>
      <c r="T52" s="3342"/>
      <c r="U52" s="3344"/>
      <c r="V52" s="3360"/>
      <c r="W52" s="3361"/>
      <c r="X52" s="3345"/>
      <c r="Y52" s="3338"/>
      <c r="AA52" s="3432"/>
      <c r="AB52" s="3491"/>
      <c r="AC52" s="3780"/>
      <c r="AD52" s="3780"/>
      <c r="AE52" s="3780"/>
      <c r="AF52" s="3780"/>
      <c r="AG52" s="3780"/>
      <c r="AH52" s="3781"/>
    </row>
    <row r="53" spans="2:34" s="3295" customFormat="1">
      <c r="B53" s="3339" t="s">
        <v>280</v>
      </c>
      <c r="C53" s="3340"/>
      <c r="D53" s="3341"/>
      <c r="E53" s="3342">
        <f>IF('Overall Degree Completion PMS I'!$R167&gt;0,'Overall Degree Completion PMS I'!$R167,0)</f>
        <v>0</v>
      </c>
      <c r="F53" s="3342">
        <f>IF('Overall Degree Completion PMS I'!$R169&gt;0,'Overall Degree Completion PMS I'!$R169,0)</f>
        <v>180.66666666666674</v>
      </c>
      <c r="G53" s="3343">
        <f>IF('Overall Degree Completion PMS I'!$R171&gt;0,'Overall Degree Completion PMS I'!$R171,0)</f>
        <v>5.3333333333333321</v>
      </c>
      <c r="H53" s="3340"/>
      <c r="I53" s="3342"/>
      <c r="J53" s="3344">
        <f>IF('At-Risk Student Degree PMS II'!$R115&gt;0,'At-Risk Student Degree PMS II'!$R115,0)</f>
        <v>73.333333333333371</v>
      </c>
      <c r="K53" s="3340">
        <f>IF('High Impact Degree PMS III'!$R39&gt;0,'High Impact Degree PMS III'!$R39,0)</f>
        <v>0</v>
      </c>
      <c r="L53" s="3342">
        <f>IF('High Impact Degree PMS III'!$R41&gt;0,'High Impact Degree PMS III'!$R41,0)</f>
        <v>40</v>
      </c>
      <c r="M53" s="3344">
        <f>IF('High Impact Degree PMS III'!$R43&gt;0,'High Impact Degree PMS III'!$R43,0)</f>
        <v>0.66666666666666674</v>
      </c>
      <c r="N53" s="3340"/>
      <c r="O53" s="3342"/>
      <c r="P53" s="3342"/>
      <c r="Q53" s="3342"/>
      <c r="R53" s="3344"/>
      <c r="S53" s="3340"/>
      <c r="T53" s="3342"/>
      <c r="U53" s="3344"/>
      <c r="V53" s="3363"/>
      <c r="W53" s="3344">
        <f>IF('On-time Graduation Rate PMS VI'!$R157&gt;0,'On-time Graduation Rate PMS VI'!$R157,0)</f>
        <v>0</v>
      </c>
      <c r="X53" s="3345" t="str">
        <f>'Institutional Eff PMS VII'!X148</f>
        <v>LOW/MOD</v>
      </c>
      <c r="Y53" s="3346">
        <f>Y54/$Y$69</f>
        <v>2.7970635105222342E-2</v>
      </c>
      <c r="AA53" s="3396"/>
      <c r="AB53" s="3491"/>
      <c r="AC53" s="3780"/>
      <c r="AD53" s="3780"/>
      <c r="AE53" s="3780"/>
      <c r="AF53" s="3780"/>
      <c r="AG53" s="3780"/>
      <c r="AH53" s="3781"/>
    </row>
    <row r="54" spans="2:34" s="3366" customFormat="1" ht="14.4" thickBot="1">
      <c r="B54" s="3367" t="s">
        <v>281</v>
      </c>
      <c r="C54" s="3353"/>
      <c r="D54" s="3368"/>
      <c r="E54" s="3354">
        <f>VLOOKUP(E$6,'Weighting and Rates PFF'!$B$30:$C$34,2,0)*E53</f>
        <v>0</v>
      </c>
      <c r="F54" s="3354">
        <f>VLOOKUP(F$6,'Weighting and Rates PFF'!$B$30:$C$34,2,0)*F53</f>
        <v>704148.3333333336</v>
      </c>
      <c r="G54" s="3369">
        <f>VLOOKUP(G$6,'Weighting and Rates PFF'!$B$30:$C$34,2,0)*G53</f>
        <v>10393.33333333333</v>
      </c>
      <c r="H54" s="3353"/>
      <c r="I54" s="3354"/>
      <c r="J54" s="3355">
        <f>VLOOKUP(J$6,'Weighting and Rates PFF'!$B$36:$C$38,2,0)*J53</f>
        <v>403573.13333333354</v>
      </c>
      <c r="K54" s="3353">
        <f>VLOOKUP(K$6,'Weighting and Rates PFF'!$B$40:$C$42,2,0)*K53</f>
        <v>0</v>
      </c>
      <c r="L54" s="3354">
        <f>VLOOKUP(L$6,'Weighting and Rates PFF'!$B$40:$C$42,2,0)*L53</f>
        <v>561317.94999999995</v>
      </c>
      <c r="M54" s="3355">
        <f>VLOOKUP(M$6,'Weighting and Rates PFF'!$B$40:$C$42,2,0)*M53</f>
        <v>4547.7329166666677</v>
      </c>
      <c r="N54" s="3370"/>
      <c r="O54" s="3354"/>
      <c r="P54" s="3354">
        <f>VLOOKUP(P$6,'Weighting and Rates PFF'!$B$44:$C$48,2,0)*'Summary of PFF Metrics 2014'!P53</f>
        <v>0</v>
      </c>
      <c r="Q54" s="3354"/>
      <c r="R54" s="3355">
        <f>VLOOKUP(R$6,'Weighting and Rates PFF'!$B$44:$C$48,2,0)*'Summary of PFF Metrics 2014'!R53</f>
        <v>0</v>
      </c>
      <c r="S54" s="3353"/>
      <c r="T54" s="3354"/>
      <c r="U54" s="3355"/>
      <c r="V54" s="3370"/>
      <c r="W54" s="3357">
        <f>IF(W53&gt;0,W53*'Weighting and Rates PFF'!$C$55,0)</f>
        <v>0</v>
      </c>
      <c r="X54" s="3358">
        <f>'Weighting and Rates PFF'!F69</f>
        <v>178084.52399999998</v>
      </c>
      <c r="Y54" s="3359">
        <f>SUM(C54:X54)</f>
        <v>1862065.0069166671</v>
      </c>
      <c r="AA54" s="3500" t="str">
        <f>B52</f>
        <v>BSU</v>
      </c>
      <c r="AB54" s="3789">
        <f>(C54+D54+E54+F54+G54)/$Y54</f>
        <v>0.38373615529666888</v>
      </c>
      <c r="AC54" s="3783">
        <f>(H54+I54+J54)/$Y54</f>
        <v>0.2167341805115586</v>
      </c>
      <c r="AD54" s="3784">
        <f>(K54+L54+M54)/$Y54</f>
        <v>0.30389147576199027</v>
      </c>
      <c r="AE54" s="3783">
        <f>SUM(N54:R54)/$Y54</f>
        <v>0</v>
      </c>
      <c r="AF54" s="3783">
        <f>SUM(S54:U54)/$Y54</f>
        <v>0</v>
      </c>
      <c r="AG54" s="3783">
        <f>SUM(V54:W54)/$Y54</f>
        <v>0</v>
      </c>
      <c r="AH54" s="3785">
        <f>X54/$Y54</f>
        <v>9.5638188429782237E-2</v>
      </c>
    </row>
    <row r="55" spans="2:34">
      <c r="B55" s="3386"/>
      <c r="C55" s="3387"/>
      <c r="D55" s="3388"/>
      <c r="E55" s="3389"/>
      <c r="F55" s="3389"/>
      <c r="G55" s="3390"/>
      <c r="H55" s="3387"/>
      <c r="I55" s="3389"/>
      <c r="J55" s="3391"/>
      <c r="K55" s="3387"/>
      <c r="L55" s="3389"/>
      <c r="M55" s="3391"/>
      <c r="N55" s="3387"/>
      <c r="O55" s="3389"/>
      <c r="P55" s="3389"/>
      <c r="Q55" s="3389"/>
      <c r="R55" s="3391"/>
      <c r="S55" s="3387"/>
      <c r="T55" s="3389"/>
      <c r="U55" s="3391"/>
      <c r="V55" s="3392"/>
      <c r="W55" s="3393"/>
      <c r="X55" s="3394"/>
      <c r="Y55" s="3395"/>
      <c r="AA55" s="3797"/>
      <c r="AB55" s="3798"/>
      <c r="AC55" s="3799"/>
      <c r="AD55" s="3799"/>
      <c r="AE55" s="3799"/>
      <c r="AF55" s="3799"/>
      <c r="AG55" s="3799"/>
      <c r="AH55" s="3800"/>
    </row>
    <row r="56" spans="2:34">
      <c r="B56" s="3261" t="s">
        <v>277</v>
      </c>
      <c r="C56" s="3340"/>
      <c r="D56" s="3341"/>
      <c r="E56" s="3342"/>
      <c r="F56" s="3342"/>
      <c r="G56" s="3343"/>
      <c r="H56" s="3340"/>
      <c r="I56" s="3342"/>
      <c r="J56" s="3344"/>
      <c r="K56" s="3340"/>
      <c r="L56" s="3342"/>
      <c r="M56" s="3344"/>
      <c r="N56" s="3340"/>
      <c r="O56" s="3342"/>
      <c r="P56" s="3342"/>
      <c r="Q56" s="3342"/>
      <c r="R56" s="3344"/>
      <c r="S56" s="3340"/>
      <c r="T56" s="3342"/>
      <c r="U56" s="3344"/>
      <c r="V56" s="3360"/>
      <c r="W56" s="3361"/>
      <c r="X56" s="3345"/>
      <c r="Y56" s="3338"/>
      <c r="AA56" s="3432"/>
      <c r="AB56" s="3491"/>
      <c r="AC56" s="3780"/>
      <c r="AD56" s="3780"/>
      <c r="AE56" s="3780"/>
      <c r="AF56" s="3780"/>
      <c r="AG56" s="3780"/>
      <c r="AH56" s="3781"/>
    </row>
    <row r="57" spans="2:34" s="3295" customFormat="1">
      <c r="B57" s="3339" t="s">
        <v>280</v>
      </c>
      <c r="C57" s="3340"/>
      <c r="D57" s="3341"/>
      <c r="E57" s="3342">
        <f>IF('Overall Degree Completion PMS I'!$R179&gt;0,'Overall Degree Completion PMS I'!$R179,0)</f>
        <v>130.66666666666674</v>
      </c>
      <c r="F57" s="3342">
        <f>IF('Overall Degree Completion PMS I'!$R181&gt;0,'Overall Degree Completion PMS I'!$R181,0)</f>
        <v>13.666666666666657</v>
      </c>
      <c r="G57" s="3343">
        <f>IF('Overall Degree Completion PMS I'!$R183&gt;0,'Overall Degree Completion PMS I'!$R183,0)</f>
        <v>3.6666666666666665</v>
      </c>
      <c r="H57" s="3340"/>
      <c r="I57" s="3342"/>
      <c r="J57" s="3344">
        <f>IF('At-Risk Student Degree PMS II'!$R123&gt;0,'At-Risk Student Degree PMS II'!$R123,0)</f>
        <v>85.333333333333314</v>
      </c>
      <c r="K57" s="3340"/>
      <c r="L57" s="3342"/>
      <c r="M57" s="3344"/>
      <c r="N57" s="3340"/>
      <c r="O57" s="3342"/>
      <c r="P57" s="3342">
        <f>IF('Student Persistence PMS IV'!$R123&gt;0,'Student Persistence PMS IV'!$R123,0)</f>
        <v>72.333333333333258</v>
      </c>
      <c r="Q57" s="3342"/>
      <c r="R57" s="3344">
        <f>IF('Student Persistence PMS IV'!$R124&gt;0,'Student Persistence PMS IV'!$R124,0)</f>
        <v>66.666666666666742</v>
      </c>
      <c r="S57" s="3340"/>
      <c r="T57" s="3342"/>
      <c r="U57" s="3344"/>
      <c r="V57" s="3363"/>
      <c r="W57" s="3344">
        <f>IF('On-time Graduation Rate PMS VI'!$R168&gt;0,'On-time Graduation Rate PMS VI'!$R168,0)</f>
        <v>50.333333333333343</v>
      </c>
      <c r="X57" s="3345" t="str">
        <f>'Institutional Eff PMS VII'!X101</f>
        <v>LOW/MOD</v>
      </c>
      <c r="Y57" s="3346">
        <f>Y58/$Y$69</f>
        <v>4.3858735042144485E-2</v>
      </c>
      <c r="AA57" s="3396"/>
      <c r="AB57" s="3491"/>
      <c r="AC57" s="3780"/>
      <c r="AD57" s="3780"/>
      <c r="AE57" s="3780"/>
      <c r="AF57" s="3780"/>
      <c r="AG57" s="3780"/>
      <c r="AH57" s="3781"/>
    </row>
    <row r="58" spans="2:34" s="3366" customFormat="1" ht="14.4" thickBot="1">
      <c r="B58" s="3367" t="s">
        <v>281</v>
      </c>
      <c r="C58" s="3353"/>
      <c r="D58" s="3368"/>
      <c r="E58" s="3354">
        <f>VLOOKUP(E$6,'Weighting and Rates PFF'!$B$30:$C$34,2,0)*E57</f>
        <v>1018546.6666666672</v>
      </c>
      <c r="F58" s="3354">
        <f>VLOOKUP(F$6,'Weighting and Rates PFF'!$B$30:$C$34,2,0)*F57</f>
        <v>53265.833333333299</v>
      </c>
      <c r="G58" s="3369">
        <f>VLOOKUP(G$6,'Weighting and Rates PFF'!$B$30:$C$34,2,0)*G57</f>
        <v>7145.4166666666661</v>
      </c>
      <c r="H58" s="3353"/>
      <c r="I58" s="3354"/>
      <c r="J58" s="3355">
        <f>VLOOKUP(J$6,'Weighting and Rates PFF'!$B$36:$C$38,2,0)*J57</f>
        <v>469612.37333333318</v>
      </c>
      <c r="K58" s="3353"/>
      <c r="L58" s="3354"/>
      <c r="M58" s="3355"/>
      <c r="N58" s="3370"/>
      <c r="O58" s="3354"/>
      <c r="P58" s="3354">
        <f>VLOOKUP(P$6,'Weighting and Rates PFF'!$B$44:$C$48,2,0)*'Summary of PFF Metrics 2014'!P57</f>
        <v>55334.999999999942</v>
      </c>
      <c r="Q58" s="3354"/>
      <c r="R58" s="3355">
        <f>VLOOKUP(R$6,'Weighting and Rates PFF'!$B$44:$C$48,2,0)*'Summary of PFF Metrics 2014'!R57</f>
        <v>102000.00000000012</v>
      </c>
      <c r="S58" s="3353"/>
      <c r="T58" s="3354"/>
      <c r="U58" s="3355"/>
      <c r="V58" s="3370"/>
      <c r="W58" s="3357">
        <f>IF(W57&gt;0,W57*'Weighting and Rates PFF'!$C$55,0)</f>
        <v>1153700.2741666669</v>
      </c>
      <c r="X58" s="3358">
        <f>'Weighting and Rates PFF'!F70</f>
        <v>60164.239499999996</v>
      </c>
      <c r="Y58" s="3359">
        <f>SUM(C58:X58)</f>
        <v>2919769.8036666675</v>
      </c>
      <c r="AA58" s="3500" t="str">
        <f>B56</f>
        <v>USI</v>
      </c>
      <c r="AB58" s="3789">
        <f>(C58+D58+E58+F58+G58)/$Y58</f>
        <v>0.36953526792136293</v>
      </c>
      <c r="AC58" s="3783">
        <f>(H58+I58+J58)/$Y58</f>
        <v>0.16083883487786971</v>
      </c>
      <c r="AD58" s="3783">
        <f>(K58+L58+M58)/$Y58</f>
        <v>0</v>
      </c>
      <c r="AE58" s="3783">
        <f>SUM(N58:R58)/$Y58</f>
        <v>5.3886097391108591E-2</v>
      </c>
      <c r="AF58" s="3783">
        <f>SUM(S58:U58)/$Y58</f>
        <v>0</v>
      </c>
      <c r="AG58" s="3784">
        <f>SUM(V58:W58)/$Y58</f>
        <v>0.3951339837537336</v>
      </c>
      <c r="AH58" s="3785">
        <f>X58/$Y58</f>
        <v>2.0605816055925135E-2</v>
      </c>
    </row>
    <row r="59" spans="2:34">
      <c r="B59" s="3386"/>
      <c r="C59" s="3387"/>
      <c r="D59" s="3388"/>
      <c r="E59" s="3389"/>
      <c r="F59" s="3389"/>
      <c r="G59" s="3390"/>
      <c r="H59" s="3387"/>
      <c r="I59" s="3389"/>
      <c r="J59" s="3391"/>
      <c r="K59" s="3387"/>
      <c r="L59" s="3389"/>
      <c r="M59" s="3391"/>
      <c r="N59" s="3387"/>
      <c r="O59" s="3389"/>
      <c r="P59" s="3389"/>
      <c r="Q59" s="3389"/>
      <c r="R59" s="3391"/>
      <c r="S59" s="3387"/>
      <c r="T59" s="3389"/>
      <c r="U59" s="3391"/>
      <c r="V59" s="3392"/>
      <c r="W59" s="3393"/>
      <c r="X59" s="3394"/>
      <c r="Y59" s="3395"/>
      <c r="AA59" s="3797"/>
      <c r="AB59" s="3798"/>
      <c r="AC59" s="3799"/>
      <c r="AD59" s="3799"/>
      <c r="AE59" s="3799"/>
      <c r="AF59" s="3799"/>
      <c r="AG59" s="3799"/>
      <c r="AH59" s="3800"/>
    </row>
    <row r="60" spans="2:34">
      <c r="B60" s="3261" t="s">
        <v>279</v>
      </c>
      <c r="C60" s="3340"/>
      <c r="D60" s="3341"/>
      <c r="E60" s="3342"/>
      <c r="F60" s="3342"/>
      <c r="G60" s="3343"/>
      <c r="H60" s="3340"/>
      <c r="I60" s="3342"/>
      <c r="J60" s="3344"/>
      <c r="K60" s="3340"/>
      <c r="L60" s="3342"/>
      <c r="M60" s="3344"/>
      <c r="N60" s="3340"/>
      <c r="O60" s="3342"/>
      <c r="P60" s="3342"/>
      <c r="Q60" s="3342"/>
      <c r="R60" s="3344"/>
      <c r="S60" s="3340"/>
      <c r="T60" s="3342"/>
      <c r="U60" s="3344"/>
      <c r="V60" s="3360"/>
      <c r="W60" s="3361"/>
      <c r="X60" s="3345"/>
      <c r="Y60" s="3338"/>
      <c r="AA60" s="3432"/>
      <c r="AB60" s="3491"/>
      <c r="AC60" s="3780"/>
      <c r="AD60" s="3780"/>
      <c r="AE60" s="3780"/>
      <c r="AF60" s="3780"/>
      <c r="AG60" s="3780"/>
      <c r="AH60" s="3781"/>
    </row>
    <row r="61" spans="2:34" s="3295" customFormat="1">
      <c r="B61" s="3339" t="s">
        <v>280</v>
      </c>
      <c r="C61" s="3340">
        <f>IF('Overall Degree Completion PMS I'!$R187&gt;0,'Overall Degree Completion PMS I'!$R187,0)</f>
        <v>102.66666666666652</v>
      </c>
      <c r="D61" s="3341">
        <f>IF('Overall Degree Completion PMS I'!$R189&gt;0,'Overall Degree Completion PMS I'!$R189,0)</f>
        <v>1525.6666666666661</v>
      </c>
      <c r="E61" s="3342"/>
      <c r="F61" s="3342"/>
      <c r="G61" s="3343"/>
      <c r="H61" s="3340">
        <f>IF('At-Risk Student Degree PMS II'!$R127&gt;0,'At-Risk Student Degree PMS II'!$R127,0)</f>
        <v>221</v>
      </c>
      <c r="I61" s="3342">
        <f>IF('At-Risk Student Degree PMS II'!$R129&gt;0,'At-Risk Student Degree PMS II'!$R129,0)</f>
        <v>814.00000000000023</v>
      </c>
      <c r="J61" s="3344"/>
      <c r="K61" s="3340"/>
      <c r="L61" s="3342"/>
      <c r="M61" s="3344"/>
      <c r="N61" s="3340">
        <f>IF('Student Persistence PMS IV'!$R129&gt;0,'Student Persistence PMS IV'!$R129,0)</f>
        <v>7544.3333333333321</v>
      </c>
      <c r="O61" s="3342">
        <f>IF('Student Persistence PMS IV'!$R130&gt;0,'Student Persistence PMS IV'!$R130,0)</f>
        <v>4061</v>
      </c>
      <c r="P61" s="3342"/>
      <c r="Q61" s="3342">
        <f>IF('Student Persistence PMS IV'!$R131&gt;0,'Student Persistence PMS IV'!$R131,0)</f>
        <v>2246.3333333333339</v>
      </c>
      <c r="R61" s="3344"/>
      <c r="S61" s="3340">
        <f>IF('Remediation Success PMS V'!R40&gt;0,'Remediation Success PMS V'!R40,0)</f>
        <v>0</v>
      </c>
      <c r="T61" s="3342">
        <f>IF('Remediation Success PMS V'!R48&gt;0,'Remediation Success PMS V'!R48,0)</f>
        <v>0</v>
      </c>
      <c r="U61" s="3344">
        <f>IF('Remediation Success PMS V'!R56&gt;0,'Remediation Success PMS V'!R56,0)</f>
        <v>0</v>
      </c>
      <c r="V61" s="3340">
        <f>IF('On-time Graduation Rate PMS VI'!$R174&gt;0,'On-time Graduation Rate PMS VI'!$R174,0)</f>
        <v>125.00000000000001</v>
      </c>
      <c r="W61" s="3290"/>
      <c r="X61" s="3345" t="str">
        <f>'Institutional Eff PMS VII'!X113</f>
        <v>MOD/MOD</v>
      </c>
      <c r="Y61" s="3346">
        <f>Y62/$Y$69</f>
        <v>0.27035250107187614</v>
      </c>
      <c r="AA61" s="3396"/>
      <c r="AB61" s="3491"/>
      <c r="AC61" s="3780"/>
      <c r="AD61" s="3780"/>
      <c r="AE61" s="3780"/>
      <c r="AF61" s="3780"/>
      <c r="AG61" s="3780"/>
      <c r="AH61" s="3781"/>
    </row>
    <row r="62" spans="2:34" s="3366" customFormat="1" ht="14.4" thickBot="1">
      <c r="B62" s="3367" t="s">
        <v>281</v>
      </c>
      <c r="C62" s="3353">
        <f>VLOOKUP(C$6,'Weighting and Rates PFF'!$B$30:$C$34,2,0)*C61</f>
        <v>200071.66666666637</v>
      </c>
      <c r="D62" s="3368">
        <f>VLOOKUP(D$6,'Weighting and Rates PFF'!$B$30:$C$34,2,0)*D61</f>
        <v>5946285.8333333312</v>
      </c>
      <c r="E62" s="3354"/>
      <c r="F62" s="3354"/>
      <c r="G62" s="3369"/>
      <c r="H62" s="3353">
        <f>VLOOKUP(H$6,'Weighting and Rates PFF'!$B$36:$C$38,2,0)*H61</f>
        <v>304055.66749999998</v>
      </c>
      <c r="I62" s="3354">
        <f>VLOOKUP(I$6,'Weighting and Rates PFF'!$B$36:$C$38,2,0)*I61</f>
        <v>2239830.8900000006</v>
      </c>
      <c r="J62" s="3355"/>
      <c r="K62" s="3353"/>
      <c r="L62" s="3354"/>
      <c r="M62" s="3355"/>
      <c r="N62" s="3370">
        <f>VLOOKUP(N$6,'Weighting and Rates PFF'!$B$44:$C$48,2,0)*'Summary of PFF Metrics 2014'!N61</f>
        <v>2301021.6666666665</v>
      </c>
      <c r="O62" s="3354">
        <f>VLOOKUP(O$6,'Weighting and Rates PFF'!$B$44:$C$48,2,0)*'Summary of PFF Metrics 2014'!O61</f>
        <v>2436600</v>
      </c>
      <c r="P62" s="3354"/>
      <c r="Q62" s="3354">
        <f>VLOOKUP(Q$6,'Weighting and Rates PFF'!$B$44:$C$48,2,0)*'Summary of PFF Metrics 2014'!Q61</f>
        <v>2718063.333333334</v>
      </c>
      <c r="R62" s="3355">
        <f>VLOOKUP(R$6,'Weighting and Rates PFF'!$B$44:$C$48,2,0)*'Summary of PFF Metrics 2014'!R61</f>
        <v>0</v>
      </c>
      <c r="S62" s="3353">
        <f>VLOOKUP(S$6,'Weighting and Rates PFF'!$B$50:$C$52,2,0)*S61</f>
        <v>0</v>
      </c>
      <c r="T62" s="3354">
        <f>VLOOKUP(T$6,'Weighting and Rates PFF'!$B$50:$C$52,2,0)*T61</f>
        <v>0</v>
      </c>
      <c r="U62" s="3355">
        <f>VLOOKUP(U$6,'Weighting and Rates PFF'!$B$50:$C$52,2,0)*U61</f>
        <v>0</v>
      </c>
      <c r="V62" s="3370">
        <f>IF(V61&gt;0,V61*'Weighting and Rates PFF'!$C$54,0)</f>
        <v>1432574.8437500002</v>
      </c>
      <c r="W62" s="3400"/>
      <c r="X62" s="3358">
        <f>'Weighting and Rates PFF'!F71</f>
        <v>419440.36725000001</v>
      </c>
      <c r="Y62" s="3359">
        <f>SUM(C62:X62)</f>
        <v>17997944.268499997</v>
      </c>
      <c r="AA62" s="3500" t="str">
        <f>B60</f>
        <v>ITCCI</v>
      </c>
      <c r="AB62" s="3789">
        <f>(C62+D62+E62+F62+G62)/$Y62</f>
        <v>0.34150330772816939</v>
      </c>
      <c r="AC62" s="3783">
        <f>(H62+I62+J62)/$Y62</f>
        <v>0.14134317339521443</v>
      </c>
      <c r="AD62" s="3783">
        <f>(K62+L62+M62)/$Y62</f>
        <v>0</v>
      </c>
      <c r="AE62" s="3784">
        <f>SUM(N62:R62)/$Y62</f>
        <v>0.41425203283071282</v>
      </c>
      <c r="AF62" s="3783">
        <f>SUM(S62:U62)/$Y62</f>
        <v>0</v>
      </c>
      <c r="AG62" s="3783">
        <f>SUM(V62:W62)/$Y62</f>
        <v>7.9596581830586779E-2</v>
      </c>
      <c r="AH62" s="3785">
        <f>X62/$Y62</f>
        <v>2.3304904215316665E-2</v>
      </c>
    </row>
    <row r="63" spans="2:34">
      <c r="B63" s="3386"/>
      <c r="C63" s="3387"/>
      <c r="D63" s="3388"/>
      <c r="E63" s="3389"/>
      <c r="F63" s="3389"/>
      <c r="G63" s="3390"/>
      <c r="H63" s="3387"/>
      <c r="I63" s="3389"/>
      <c r="J63" s="3391"/>
      <c r="K63" s="3387"/>
      <c r="L63" s="3389"/>
      <c r="M63" s="3391"/>
      <c r="N63" s="3387"/>
      <c r="O63" s="3389"/>
      <c r="P63" s="3389"/>
      <c r="Q63" s="3389"/>
      <c r="R63" s="3391"/>
      <c r="S63" s="3387"/>
      <c r="T63" s="3389"/>
      <c r="U63" s="3391"/>
      <c r="V63" s="3392"/>
      <c r="W63" s="3393"/>
      <c r="X63" s="3394"/>
      <c r="Y63" s="3395"/>
      <c r="AA63" s="3797"/>
      <c r="AB63" s="3798"/>
      <c r="AC63" s="3799"/>
      <c r="AD63" s="3799"/>
      <c r="AE63" s="3799"/>
      <c r="AF63" s="3799"/>
      <c r="AG63" s="3799"/>
      <c r="AH63" s="3800"/>
    </row>
    <row r="64" spans="2:34">
      <c r="B64" s="3261" t="s">
        <v>278</v>
      </c>
      <c r="C64" s="3340"/>
      <c r="D64" s="3341"/>
      <c r="E64" s="3342"/>
      <c r="F64" s="3342"/>
      <c r="G64" s="3343"/>
      <c r="H64" s="3340"/>
      <c r="I64" s="3342"/>
      <c r="J64" s="3344"/>
      <c r="K64" s="3340"/>
      <c r="L64" s="3342"/>
      <c r="M64" s="3344"/>
      <c r="N64" s="3340"/>
      <c r="O64" s="3342"/>
      <c r="P64" s="3342"/>
      <c r="Q64" s="3342"/>
      <c r="R64" s="3344"/>
      <c r="S64" s="3340"/>
      <c r="T64" s="3342"/>
      <c r="U64" s="3344"/>
      <c r="V64" s="3360"/>
      <c r="W64" s="3361"/>
      <c r="X64" s="3345"/>
      <c r="Y64" s="3338"/>
      <c r="AA64" s="3432"/>
      <c r="AB64" s="3491"/>
      <c r="AC64" s="3780"/>
      <c r="AD64" s="3780"/>
      <c r="AE64" s="3780"/>
      <c r="AF64" s="3780"/>
      <c r="AG64" s="3780"/>
      <c r="AH64" s="3781"/>
    </row>
    <row r="65" spans="1:34" s="3295" customFormat="1">
      <c r="B65" s="3339" t="s">
        <v>280</v>
      </c>
      <c r="C65" s="3340">
        <f>IF('Overall Degree Completion PMS I'!$R199&gt;0,'Overall Degree Completion PMS I'!$R199,0)</f>
        <v>0</v>
      </c>
      <c r="D65" s="3341">
        <f>IF('Overall Degree Completion PMS I'!$R201&gt;0,'Overall Degree Completion PMS I'!$R201,0)</f>
        <v>128.33333333333337</v>
      </c>
      <c r="E65" s="3342">
        <f>IF('Overall Degree Completion PMS I'!$R203&gt;0,'Overall Degree Completion PMS I'!$R203,0)</f>
        <v>57.333333333333329</v>
      </c>
      <c r="F65" s="3342"/>
      <c r="G65" s="3343"/>
      <c r="H65" s="3340">
        <f>IF('At-Risk Student Degree PMS II'!$R135&gt;0,'At-Risk Student Degree PMS II'!$R135,0)</f>
        <v>0</v>
      </c>
      <c r="I65" s="3342">
        <f>IF('At-Risk Student Degree PMS II'!$R137&gt;0,'At-Risk Student Degree PMS II'!$R137,0)</f>
        <v>88.386666666666656</v>
      </c>
      <c r="J65" s="3344">
        <f>IF('At-Risk Student Degree PMS II'!$R139&gt;0,'At-Risk Student Degree PMS II'!$R139,0)</f>
        <v>32.333333333333336</v>
      </c>
      <c r="K65" s="3340"/>
      <c r="L65" s="3342"/>
      <c r="M65" s="3344"/>
      <c r="N65" s="3340">
        <f>IF('Student Persistence PMS IV'!$R140&gt;0,'Student Persistence PMS IV'!$R140,0)</f>
        <v>573.06102211697134</v>
      </c>
      <c r="O65" s="3342">
        <f>IF('Student Persistence PMS IV'!$R141&gt;0,'Student Persistence PMS IV'!$R141,0)</f>
        <v>435.05827560288913</v>
      </c>
      <c r="P65" s="3342"/>
      <c r="Q65" s="3342">
        <f>IF('Student Persistence PMS IV'!$R142&gt;0,'Student Persistence PMS IV'!$R142,0)</f>
        <v>388.85295533109615</v>
      </c>
      <c r="R65" s="3344"/>
      <c r="S65" s="3340">
        <f>IF('Remediation Success PMS V'!R65&gt;0,'Remediation Success PMS V'!R65,0)</f>
        <v>0</v>
      </c>
      <c r="T65" s="3342">
        <f>IF('Remediation Success PMS V'!R73&gt;0,'Remediation Success PMS V'!R73,0)</f>
        <v>0</v>
      </c>
      <c r="U65" s="3344">
        <f>IF('Remediation Success PMS V'!R82&gt;0,'Remediation Success PMS V'!R82,0)</f>
        <v>0</v>
      </c>
      <c r="V65" s="3340">
        <f>IF('On-time Graduation Rate PMS VI'!$R185&gt;0,'On-time Graduation Rate PMS VI'!$R185,0)</f>
        <v>0</v>
      </c>
      <c r="W65" s="3344">
        <f>IF('On-time Graduation Rate PMS VI'!$R190&gt;0,'On-time Graduation Rate PMS VI'!$R190,0)</f>
        <v>9.3333333333333339</v>
      </c>
      <c r="X65" s="3345" t="str">
        <f>'Institutional Eff PMS VII'!X123</f>
        <v>LOW/MOD</v>
      </c>
      <c r="Y65" s="3346">
        <f>Y66/$Y$69</f>
        <v>3.822101626128175E-2</v>
      </c>
      <c r="AA65" s="3396"/>
      <c r="AB65" s="3491"/>
      <c r="AC65" s="3780"/>
      <c r="AD65" s="3780"/>
      <c r="AE65" s="3780"/>
      <c r="AF65" s="3780"/>
      <c r="AG65" s="3780"/>
      <c r="AH65" s="3781"/>
    </row>
    <row r="66" spans="1:34" s="3366" customFormat="1" ht="14.4" thickBot="1">
      <c r="B66" s="3367" t="s">
        <v>281</v>
      </c>
      <c r="C66" s="3353">
        <f>VLOOKUP(C$6,'Weighting and Rates PFF'!$B$30:$C$34,2,0)*C65</f>
        <v>0</v>
      </c>
      <c r="D66" s="3368">
        <f>VLOOKUP(D$6,'Weighting and Rates PFF'!$B$30:$C$34,2,0)*D65</f>
        <v>500179.1666666668</v>
      </c>
      <c r="E66" s="3354">
        <f>VLOOKUP(E$6,'Weighting and Rates PFF'!$B$30:$C$34,2,0)*E65</f>
        <v>446913.33333333331</v>
      </c>
      <c r="F66" s="3354"/>
      <c r="G66" s="3369"/>
      <c r="H66" s="3353">
        <f>VLOOKUP(H$6,'Weighting and Rates PFF'!$B$36:$C$38,2,0)*H65</f>
        <v>0</v>
      </c>
      <c r="I66" s="3354">
        <f>VLOOKUP(I$6,'Weighting and Rates PFF'!$B$36:$C$38,2,0)*I65</f>
        <v>243207.84553333328</v>
      </c>
      <c r="J66" s="3355">
        <f>VLOOKUP(J$6,'Weighting and Rates PFF'!$B$36:$C$38,2,0)*J65</f>
        <v>177939.06333333332</v>
      </c>
      <c r="K66" s="3353"/>
      <c r="L66" s="3354"/>
      <c r="M66" s="3355"/>
      <c r="N66" s="3370">
        <f>VLOOKUP(N$6,'Weighting and Rates PFF'!$B$44:$C$48,2,0)*'Summary of PFF Metrics 2014'!N65</f>
        <v>174783.61174567626</v>
      </c>
      <c r="O66" s="3354">
        <f>VLOOKUP(O$6,'Weighting and Rates PFF'!$B$44:$C$48,2,0)*'Summary of PFF Metrics 2014'!O65</f>
        <v>261034.96536173348</v>
      </c>
      <c r="P66" s="3354"/>
      <c r="Q66" s="3354">
        <f>VLOOKUP(Q$6,'Weighting and Rates PFF'!$B$44:$C$48,2,0)*'Summary of PFF Metrics 2014'!Q65</f>
        <v>470512.07595062634</v>
      </c>
      <c r="R66" s="3355">
        <f>VLOOKUP(R$6,'Weighting and Rates PFF'!$B$44:$C$48,2,0)*'Summary of PFF Metrics 2014'!R65</f>
        <v>0</v>
      </c>
      <c r="S66" s="3353">
        <f>VLOOKUP(S$6,'Weighting and Rates PFF'!$B$50:$C$52,2,0)*S65</f>
        <v>0</v>
      </c>
      <c r="T66" s="3354">
        <f>VLOOKUP(T$6,'Weighting and Rates PFF'!$B$50:$C$52,2,0)*T65</f>
        <v>0</v>
      </c>
      <c r="U66" s="3355">
        <f>VLOOKUP(U$6,'Weighting and Rates PFF'!$B$50:$C$52,2,0)*U65</f>
        <v>0</v>
      </c>
      <c r="V66" s="3370">
        <f>IF(V65&gt;0,V65*'Weighting and Rates PFF'!$C$54,0)</f>
        <v>0</v>
      </c>
      <c r="W66" s="3357">
        <f>IF(W65&gt;0,W65*'Weighting and Rates PFF'!$C$55,0)</f>
        <v>213931.1766666667</v>
      </c>
      <c r="X66" s="3358">
        <f>'Weighting and Rates PFF'!F72</f>
        <v>55953.566999999995</v>
      </c>
      <c r="Y66" s="3359">
        <f>SUM(C66:X66)</f>
        <v>2544454.8055913695</v>
      </c>
      <c r="AA66" s="3500" t="str">
        <f>B64</f>
        <v>VU</v>
      </c>
      <c r="AB66" s="3789">
        <f>(C66+D66+E66+F66+G66)/$Y66</f>
        <v>0.37221824412789351</v>
      </c>
      <c r="AC66" s="3783">
        <f>(H66+I66+J66)/$Y66</f>
        <v>0.16551557840257483</v>
      </c>
      <c r="AD66" s="3783">
        <f>(K66+L66+M66)/$Y66</f>
        <v>0</v>
      </c>
      <c r="AE66" s="3784">
        <f>SUM(N66:R66)/$Y66</f>
        <v>0.35619836951570111</v>
      </c>
      <c r="AF66" s="3783">
        <f>SUM(S66:U66)/$Y66</f>
        <v>0</v>
      </c>
      <c r="AG66" s="3783">
        <f>SUM(V66:W66)/$Y66</f>
        <v>8.4077412653020531E-2</v>
      </c>
      <c r="AH66" s="3785">
        <f>X66/$Y66</f>
        <v>2.1990395300810046E-2</v>
      </c>
    </row>
    <row r="67" spans="1:34">
      <c r="B67" s="3386"/>
      <c r="C67" s="3387"/>
      <c r="D67" s="3388"/>
      <c r="E67" s="3389"/>
      <c r="F67" s="3389"/>
      <c r="G67" s="3390"/>
      <c r="H67" s="3387"/>
      <c r="I67" s="3389"/>
      <c r="J67" s="3391"/>
      <c r="K67" s="3387"/>
      <c r="L67" s="3389"/>
      <c r="M67" s="3391"/>
      <c r="N67" s="3387"/>
      <c r="O67" s="3389"/>
      <c r="P67" s="3389"/>
      <c r="Q67" s="3389"/>
      <c r="R67" s="3391"/>
      <c r="S67" s="3387"/>
      <c r="T67" s="3389"/>
      <c r="U67" s="3391"/>
      <c r="V67" s="3392"/>
      <c r="W67" s="3393"/>
      <c r="X67" s="3394"/>
      <c r="Y67" s="3395"/>
      <c r="AA67" s="3797"/>
      <c r="AB67" s="3798"/>
      <c r="AC67" s="3799"/>
      <c r="AD67" s="3799"/>
      <c r="AE67" s="3799"/>
      <c r="AF67" s="3799"/>
      <c r="AG67" s="3799"/>
      <c r="AH67" s="3800"/>
    </row>
    <row r="68" spans="1:34" s="3399" customFormat="1">
      <c r="B68" s="3399" t="s">
        <v>288</v>
      </c>
      <c r="C68" s="3371">
        <f>C29+C45+C49+C53+C61+C65+C57</f>
        <v>102.66666666666652</v>
      </c>
      <c r="D68" s="3372">
        <f t="shared" ref="C68:F69" si="11">D29+D45+D49+D53+D61+D65+D57</f>
        <v>1653.9999999999995</v>
      </c>
      <c r="E68" s="3373">
        <f>E29+E45+E49+E53+E61+E65+E57</f>
        <v>1499.9999999999998</v>
      </c>
      <c r="F68" s="3373">
        <f t="shared" si="11"/>
        <v>414.33333333333337</v>
      </c>
      <c r="G68" s="3374">
        <f>G29+G45+G49+G53+G61+G65+G57</f>
        <v>8.9999999999999982</v>
      </c>
      <c r="H68" s="3371">
        <f t="shared" ref="H68:N68" si="12">H29+H45+H49+H53+H61+H65+H57</f>
        <v>221</v>
      </c>
      <c r="I68" s="3373">
        <f t="shared" si="12"/>
        <v>902.38666666666688</v>
      </c>
      <c r="J68" s="3376">
        <f t="shared" si="12"/>
        <v>1309.333333333333</v>
      </c>
      <c r="K68" s="3371">
        <f t="shared" si="12"/>
        <v>282.99999999999989</v>
      </c>
      <c r="L68" s="3373">
        <f t="shared" si="12"/>
        <v>76.666666666666686</v>
      </c>
      <c r="M68" s="3376">
        <f t="shared" si="12"/>
        <v>9.3333333333333321</v>
      </c>
      <c r="N68" s="3371">
        <f t="shared" si="12"/>
        <v>8117.3943554503039</v>
      </c>
      <c r="O68" s="3373">
        <f t="shared" ref="O68:W68" si="13">O29+O45+O49+O53+O61+O65+O57</f>
        <v>4496.0582756028889</v>
      </c>
      <c r="P68" s="3373">
        <f t="shared" si="13"/>
        <v>867.99999999999966</v>
      </c>
      <c r="Q68" s="3373">
        <f t="shared" si="13"/>
        <v>2635.1862886644303</v>
      </c>
      <c r="R68" s="3376">
        <f t="shared" si="13"/>
        <v>626.66666666666674</v>
      </c>
      <c r="S68" s="3371">
        <f t="shared" si="13"/>
        <v>0</v>
      </c>
      <c r="T68" s="3373">
        <f t="shared" si="13"/>
        <v>0</v>
      </c>
      <c r="U68" s="3376">
        <f t="shared" si="13"/>
        <v>0</v>
      </c>
      <c r="V68" s="3401">
        <f t="shared" si="13"/>
        <v>125.00000000000001</v>
      </c>
      <c r="W68" s="3376">
        <f t="shared" si="13"/>
        <v>663.66666666666663</v>
      </c>
      <c r="X68" s="3398"/>
      <c r="Y68" s="3338"/>
      <c r="AA68" s="3396"/>
      <c r="AB68" s="3491"/>
      <c r="AC68" s="3780"/>
      <c r="AD68" s="3780"/>
      <c r="AE68" s="3780"/>
      <c r="AF68" s="3780"/>
      <c r="AG68" s="3780"/>
      <c r="AH68" s="3781"/>
    </row>
    <row r="69" spans="1:34" s="3287" customFormat="1" ht="14.4" thickBot="1">
      <c r="B69" s="3402" t="s">
        <v>289</v>
      </c>
      <c r="C69" s="3403">
        <f t="shared" si="11"/>
        <v>200071.66666666637</v>
      </c>
      <c r="D69" s="3404">
        <f t="shared" si="11"/>
        <v>6446464.9999999981</v>
      </c>
      <c r="E69" s="3405">
        <f t="shared" si="11"/>
        <v>11692500</v>
      </c>
      <c r="F69" s="3405">
        <f t="shared" si="11"/>
        <v>1614864.1666666667</v>
      </c>
      <c r="G69" s="3406">
        <f>G30+G46+G50+G54+G62+G66+G58</f>
        <v>17538.749999999996</v>
      </c>
      <c r="H69" s="3403">
        <f t="shared" ref="H69:N69" si="14">H30+H46+H50+H54+H62+H66+H58</f>
        <v>304055.66749999998</v>
      </c>
      <c r="I69" s="3405">
        <f t="shared" si="14"/>
        <v>2483038.7355333338</v>
      </c>
      <c r="J69" s="3407">
        <f t="shared" si="14"/>
        <v>7205614.8533333335</v>
      </c>
      <c r="K69" s="3403">
        <f t="shared" si="14"/>
        <v>5516065.4924999988</v>
      </c>
      <c r="L69" s="3405">
        <f t="shared" si="14"/>
        <v>1075859.4041666668</v>
      </c>
      <c r="M69" s="3407">
        <f t="shared" si="14"/>
        <v>63668.260833333334</v>
      </c>
      <c r="N69" s="3408">
        <f t="shared" si="14"/>
        <v>2475805.278412343</v>
      </c>
      <c r="O69" s="3405">
        <f t="shared" ref="O69:W69" si="15">O30+O46+O50+O54+O62+O66+O58</f>
        <v>2697634.9653617335</v>
      </c>
      <c r="P69" s="3405">
        <f t="shared" si="15"/>
        <v>664019.99999999977</v>
      </c>
      <c r="Q69" s="3405">
        <f t="shared" si="15"/>
        <v>3188575.4092839602</v>
      </c>
      <c r="R69" s="3407">
        <f t="shared" si="15"/>
        <v>958800.00000000023</v>
      </c>
      <c r="S69" s="3403">
        <f t="shared" si="15"/>
        <v>0</v>
      </c>
      <c r="T69" s="3405">
        <f t="shared" si="15"/>
        <v>0</v>
      </c>
      <c r="U69" s="3407">
        <f t="shared" si="15"/>
        <v>0</v>
      </c>
      <c r="V69" s="3408">
        <f t="shared" si="15"/>
        <v>1432574.8437500002</v>
      </c>
      <c r="W69" s="3409">
        <f t="shared" si="15"/>
        <v>15212034.740833331</v>
      </c>
      <c r="X69" s="3410">
        <f>X30+X46+X50+X54+X62+X66+X58</f>
        <v>3322951.7213099999</v>
      </c>
      <c r="Y69" s="3359">
        <f>SUM(C69:X69)</f>
        <v>66572138.956151359</v>
      </c>
      <c r="AA69" s="3796"/>
      <c r="AB69" s="3782">
        <f>(C69+D69+E69+F69+G69)/$Y69</f>
        <v>0.29999696414272931</v>
      </c>
      <c r="AC69" s="3783">
        <f>(H69+I69+J69)/$Y69</f>
        <v>0.15010347291001871</v>
      </c>
      <c r="AD69" s="3783">
        <f>(K69+L69+M69)/$Y69</f>
        <v>9.9975654408277242E-2</v>
      </c>
      <c r="AE69" s="3783">
        <f>SUM(N69:R69)/$Y69</f>
        <v>0.14998520116102451</v>
      </c>
      <c r="AF69" s="3783">
        <f>SUM(S69:U69)/$Y69</f>
        <v>0</v>
      </c>
      <c r="AG69" s="3783">
        <f>SUM(V69:W69)/$Y69</f>
        <v>0.25002365622571521</v>
      </c>
      <c r="AH69" s="3785">
        <f>X69/$Y69</f>
        <v>4.9915051152235129E-2</v>
      </c>
    </row>
    <row r="70" spans="1:34">
      <c r="B70" s="3411" t="s">
        <v>318</v>
      </c>
      <c r="C70" s="4455">
        <f>SUM(C69:G69)</f>
        <v>19971439.583333332</v>
      </c>
      <c r="D70" s="4456"/>
      <c r="E70" s="4456"/>
      <c r="F70" s="4456"/>
      <c r="G70" s="4457"/>
      <c r="H70" s="4458">
        <f>SUM(H69:J69)</f>
        <v>9992709.2563666664</v>
      </c>
      <c r="I70" s="4459"/>
      <c r="J70" s="4460"/>
      <c r="K70" s="4452">
        <f>SUM(K69:M69)</f>
        <v>6655593.1574999988</v>
      </c>
      <c r="L70" s="4453"/>
      <c r="M70" s="4454"/>
      <c r="N70" s="4433">
        <f>SUM(N69:R69)</f>
        <v>9984835.6530580372</v>
      </c>
      <c r="O70" s="4434"/>
      <c r="P70" s="4434"/>
      <c r="Q70" s="4434"/>
      <c r="R70" s="4435"/>
      <c r="S70" s="4437">
        <f>SUM(S69:U69)</f>
        <v>0</v>
      </c>
      <c r="T70" s="4438"/>
      <c r="U70" s="4439"/>
      <c r="V70" s="4477">
        <f>SUM(V69:W69)</f>
        <v>16644609.584583331</v>
      </c>
      <c r="W70" s="4478"/>
      <c r="X70" s="3412">
        <f>SUM(X69)</f>
        <v>3322951.7213099999</v>
      </c>
      <c r="Y70" s="3413">
        <f>SUM(C70:X70)</f>
        <v>66572138.956151359</v>
      </c>
    </row>
    <row r="71" spans="1:34" ht="14.4" thickBot="1">
      <c r="B71" s="3414" t="s">
        <v>317</v>
      </c>
      <c r="C71" s="4461">
        <f>C70/'Weighting and Rates PFF'!C14</f>
        <v>0.29998090040970921</v>
      </c>
      <c r="D71" s="4462"/>
      <c r="E71" s="4462"/>
      <c r="F71" s="4462"/>
      <c r="G71" s="4463"/>
      <c r="H71" s="4464">
        <f>H70/'Weighting and Rates PFF'!C14</f>
        <v>0.15009543542163575</v>
      </c>
      <c r="I71" s="4465"/>
      <c r="J71" s="4466"/>
      <c r="K71" s="3415"/>
      <c r="L71" s="3416">
        <f>K70/'Weighting and Rates PFF'!C14</f>
        <v>9.9970301080034352E-2</v>
      </c>
      <c r="M71" s="3417"/>
      <c r="N71" s="3418"/>
      <c r="O71" s="4436">
        <f>N70/'Weighting and Rates PFF'!C14</f>
        <v>0.1499771700056583</v>
      </c>
      <c r="P71" s="4436"/>
      <c r="Q71" s="4436"/>
      <c r="R71" s="3419"/>
      <c r="S71" s="4440">
        <f>S70/'Weighting and Rates PFF'!C14</f>
        <v>0</v>
      </c>
      <c r="T71" s="4441"/>
      <c r="U71" s="4442"/>
      <c r="V71" s="4473">
        <f>V70/'Weighting and Rates PFF'!C14</f>
        <v>0.25001026837936213</v>
      </c>
      <c r="W71" s="4474"/>
      <c r="X71" s="3420">
        <f>X70/'Weighting and Rates PFF'!C14</f>
        <v>4.9912378385003342E-2</v>
      </c>
      <c r="Y71" s="3421">
        <f>Y70/'Weighting and Rates PFF'!C14</f>
        <v>0.999946453681403</v>
      </c>
    </row>
    <row r="73" spans="1:34">
      <c r="A73" s="3305" t="s">
        <v>287</v>
      </c>
    </row>
    <row r="74" spans="1:34" hidden="1"/>
    <row r="75" spans="1:34" s="3422" customFormat="1" ht="10.199999999999999" hidden="1">
      <c r="B75" s="3422" t="s">
        <v>295</v>
      </c>
      <c r="C75" s="3423" t="str">
        <f>IF(C$68='Overall Degree Completion PMS I'!$T7,"GOOD","BAD")</f>
        <v>BAD</v>
      </c>
      <c r="D75" s="3423" t="str">
        <f>IF(D$68='Overall Degree Completion PMS I'!$T9,"GOOD","BAD")</f>
        <v>BAD</v>
      </c>
      <c r="E75" s="3423" t="str">
        <f>IF(E$68='Overall Degree Completion PMS I'!$T11,"GOOD","BAD")</f>
        <v>BAD</v>
      </c>
      <c r="F75" s="3423" t="str">
        <f>IF(F$68='Overall Degree Completion PMS I'!$T13,"GOOD","BAD")</f>
        <v>BAD</v>
      </c>
      <c r="G75" s="3423" t="str">
        <f>IF(G$68='Overall Degree Completion PMS I'!$T15,"GOOD","BAD")</f>
        <v>BAD</v>
      </c>
      <c r="H75" s="3423" t="str">
        <f>IF(H68='At-Risk Student Degree PMS II'!R7,"GOOD","BAD")</f>
        <v>BAD</v>
      </c>
      <c r="I75" s="3423" t="str">
        <f>IF(I68='At-Risk Student Degree PMS II'!R9,"GOOD","BAD")</f>
        <v>GOOD</v>
      </c>
      <c r="J75" s="3423" t="str">
        <f>IF(J68='At-Risk Student Degree PMS II'!R11,"GOOD","BAD")</f>
        <v>GOOD</v>
      </c>
      <c r="K75" s="3424" t="str">
        <f>IF(K68='High Impact Degree PMS III'!$T7,"GOOD","BAD")</f>
        <v>BAD</v>
      </c>
      <c r="L75" s="3424" t="str">
        <f>IF(L68='High Impact Degree PMS III'!$T9,"GOOD","BAD")</f>
        <v>BAD</v>
      </c>
      <c r="M75" s="3424" t="str">
        <f>IF(M68='High Impact Degree PMS III'!$T11,"GOOD","BAD")</f>
        <v>BAD</v>
      </c>
      <c r="N75" s="3424" t="str">
        <f>IF(N68='Student Persistence PMS IV'!$T8,"GOOD","BAD")</f>
        <v>BAD</v>
      </c>
      <c r="O75" s="3424" t="str">
        <f>IF(O68='Student Persistence PMS IV'!$V9,"GOOD","BAD")</f>
        <v>BAD</v>
      </c>
      <c r="P75" s="3424"/>
      <c r="Q75" s="3424" t="str">
        <f>IF(Q68='Student Persistence PMS IV'!$T10,"GOOD","BAD")</f>
        <v>BAD</v>
      </c>
      <c r="R75" s="3424" t="str">
        <f>IF(R68='Student Persistence PMS IV'!$T14,"GOOD","BAD")</f>
        <v>BAD</v>
      </c>
      <c r="S75" s="3424" t="str">
        <f>IF(S68='Remediation Success PMS V'!$T11,"GOOD","BAD")</f>
        <v>GOOD</v>
      </c>
      <c r="T75" s="3424" t="str">
        <f>IF(T68='Remediation Success PMS V'!$T19,"GOOD","BAD")</f>
        <v>GOOD</v>
      </c>
      <c r="U75" s="3424" t="str">
        <f>IF(U68='Remediation Success PMS V'!$T27,"GOOD","BAD")</f>
        <v>GOOD</v>
      </c>
      <c r="Y75" s="3425"/>
      <c r="AA75" s="3801"/>
      <c r="AB75" s="3801"/>
      <c r="AC75" s="3801"/>
      <c r="AD75" s="3801"/>
      <c r="AE75" s="3801"/>
      <c r="AF75" s="3801"/>
      <c r="AG75" s="3801"/>
      <c r="AH75" s="3801"/>
    </row>
  </sheetData>
  <mergeCells count="18">
    <mergeCell ref="V71:W71"/>
    <mergeCell ref="V5:W5"/>
    <mergeCell ref="V70:W70"/>
    <mergeCell ref="B5:B6"/>
    <mergeCell ref="N70:R70"/>
    <mergeCell ref="O71:Q71"/>
    <mergeCell ref="S70:U70"/>
    <mergeCell ref="S71:U71"/>
    <mergeCell ref="K5:M5"/>
    <mergeCell ref="N5:R5"/>
    <mergeCell ref="S5:U5"/>
    <mergeCell ref="K70:M70"/>
    <mergeCell ref="C70:G70"/>
    <mergeCell ref="H70:J70"/>
    <mergeCell ref="C71:G71"/>
    <mergeCell ref="H71:J71"/>
    <mergeCell ref="C5:G5"/>
    <mergeCell ref="H5:J5"/>
  </mergeCells>
  <pageMargins left="0.7" right="0.7" top="0.75" bottom="0.75" header="0.3" footer="0.3"/>
  <pageSetup paperSize="17" scale="60" orientation="landscape" r:id="rId1"/>
  <headerFooter>
    <oddFooter>&amp;LHouse Ways and Means Cmte Amendment 1001 2-14-13&amp;R&amp;D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zoomScale="90" zoomScaleNormal="90" workbookViewId="0">
      <selection activeCell="A3" sqref="A3"/>
    </sheetView>
  </sheetViews>
  <sheetFormatPr defaultColWidth="9.109375" defaultRowHeight="13.8"/>
  <cols>
    <col min="1" max="1" width="9.109375" style="3265"/>
    <col min="2" max="2" width="25.88671875" style="3265" bestFit="1" customWidth="1"/>
    <col min="3" max="3" width="10.44140625" style="3302" bestFit="1" customWidth="1"/>
    <col min="4" max="4" width="11.44140625" style="3302" bestFit="1" customWidth="1"/>
    <col min="5" max="5" width="10.88671875" style="3302" bestFit="1" customWidth="1"/>
    <col min="6" max="6" width="9.88671875" style="3302" bestFit="1" customWidth="1"/>
    <col min="7" max="7" width="10.33203125" style="3302" bestFit="1" customWidth="1"/>
    <col min="8" max="8" width="10.44140625" style="3302" bestFit="1" customWidth="1"/>
    <col min="9" max="9" width="11.44140625" style="3302" bestFit="1" customWidth="1"/>
    <col min="10" max="10" width="10.5546875" style="3302" bestFit="1" customWidth="1"/>
    <col min="11" max="11" width="10.88671875" style="3303" bestFit="1" customWidth="1"/>
    <col min="12" max="12" width="9.88671875" style="3303" bestFit="1" customWidth="1"/>
    <col min="13" max="13" width="10.33203125" style="3303" bestFit="1" customWidth="1"/>
    <col min="14" max="14" width="9.88671875" style="3303" bestFit="1" customWidth="1"/>
    <col min="15" max="15" width="13.6640625" style="3303" bestFit="1" customWidth="1"/>
    <col min="16" max="16" width="14.33203125" style="3303" bestFit="1" customWidth="1"/>
    <col min="17" max="17" width="9.88671875" style="3303" bestFit="1" customWidth="1"/>
    <col min="18" max="18" width="9.33203125" style="3303" bestFit="1" customWidth="1"/>
    <col min="19" max="19" width="7.33203125" style="3303" bestFit="1" customWidth="1"/>
    <col min="20" max="20" width="9.109375" style="3303" bestFit="1" customWidth="1"/>
    <col min="21" max="21" width="16.88671875" style="3303" bestFit="1" customWidth="1"/>
    <col min="22" max="23" width="10.88671875" style="3295" bestFit="1" customWidth="1"/>
    <col min="24" max="24" width="22" style="3295" bestFit="1" customWidth="1"/>
    <col min="25" max="25" width="12" style="3304" bestFit="1" customWidth="1"/>
    <col min="26" max="26" width="9.109375" style="3265"/>
    <col min="27" max="27" width="9.88671875" style="3261" bestFit="1" customWidth="1"/>
    <col min="28" max="28" width="16.109375" style="3399" bestFit="1" customWidth="1"/>
    <col min="29" max="29" width="16" style="3399" bestFit="1" customWidth="1"/>
    <col min="30" max="30" width="19.5546875" style="3399" bestFit="1" customWidth="1"/>
    <col min="31" max="31" width="12.44140625" style="3399" customWidth="1"/>
    <col min="32" max="32" width="14.109375" style="3399" bestFit="1" customWidth="1"/>
    <col min="33" max="33" width="12.6640625" style="3399" customWidth="1"/>
    <col min="34" max="34" width="12.109375" style="3399" customWidth="1"/>
    <col min="35" max="16384" width="9.109375" style="3265"/>
  </cols>
  <sheetData>
    <row r="1" spans="1:34">
      <c r="A1" s="3301" t="s">
        <v>306</v>
      </c>
    </row>
    <row r="2" spans="1:34">
      <c r="A2" s="3305" t="s">
        <v>308</v>
      </c>
    </row>
    <row r="3" spans="1:34" ht="15.6">
      <c r="A3" s="4417" t="s">
        <v>970</v>
      </c>
      <c r="B3" s="3300"/>
      <c r="C3" s="3520"/>
      <c r="D3" s="3520"/>
    </row>
    <row r="4" spans="1:34" ht="14.4" thickBot="1"/>
    <row r="5" spans="1:34" s="3306" customFormat="1" ht="47.25" customHeight="1" thickBot="1">
      <c r="B5" s="4431" t="s">
        <v>336</v>
      </c>
      <c r="C5" s="4467" t="s">
        <v>291</v>
      </c>
      <c r="D5" s="4468"/>
      <c r="E5" s="4468"/>
      <c r="F5" s="4468"/>
      <c r="G5" s="4469"/>
      <c r="H5" s="4470" t="s">
        <v>290</v>
      </c>
      <c r="I5" s="4471"/>
      <c r="J5" s="4472"/>
      <c r="K5" s="4443" t="s">
        <v>292</v>
      </c>
      <c r="L5" s="4444"/>
      <c r="M5" s="4445"/>
      <c r="N5" s="4446" t="s">
        <v>307</v>
      </c>
      <c r="O5" s="4447"/>
      <c r="P5" s="4447"/>
      <c r="Q5" s="4447"/>
      <c r="R5" s="4448"/>
      <c r="S5" s="4449" t="s">
        <v>296</v>
      </c>
      <c r="T5" s="4450"/>
      <c r="U5" s="4451"/>
      <c r="V5" s="4475" t="s">
        <v>300</v>
      </c>
      <c r="W5" s="4476"/>
      <c r="X5" s="3307" t="s">
        <v>303</v>
      </c>
      <c r="Y5" s="3308" t="s">
        <v>319</v>
      </c>
      <c r="AB5" s="3769" t="s">
        <v>291</v>
      </c>
      <c r="AC5" s="3770" t="s">
        <v>290</v>
      </c>
      <c r="AD5" s="3771" t="s">
        <v>292</v>
      </c>
      <c r="AE5" s="3772" t="s">
        <v>307</v>
      </c>
      <c r="AF5" s="3773" t="s">
        <v>296</v>
      </c>
      <c r="AG5" s="3774" t="s">
        <v>300</v>
      </c>
      <c r="AH5" s="3775" t="s">
        <v>303</v>
      </c>
    </row>
    <row r="6" spans="1:34" s="3309" customFormat="1" ht="16.2" thickBot="1">
      <c r="B6" s="4432"/>
      <c r="C6" s="3310" t="s">
        <v>282</v>
      </c>
      <c r="D6" s="3311" t="s">
        <v>283</v>
      </c>
      <c r="E6" s="3312" t="s">
        <v>284</v>
      </c>
      <c r="F6" s="3312" t="s">
        <v>285</v>
      </c>
      <c r="G6" s="3313" t="s">
        <v>286</v>
      </c>
      <c r="H6" s="3314" t="s">
        <v>282</v>
      </c>
      <c r="I6" s="3315" t="s">
        <v>283</v>
      </c>
      <c r="J6" s="3316" t="s">
        <v>284</v>
      </c>
      <c r="K6" s="3317" t="s">
        <v>284</v>
      </c>
      <c r="L6" s="3318" t="s">
        <v>285</v>
      </c>
      <c r="M6" s="3319" t="s">
        <v>286</v>
      </c>
      <c r="N6" s="3320" t="s">
        <v>293</v>
      </c>
      <c r="O6" s="3321" t="s">
        <v>333</v>
      </c>
      <c r="P6" s="3321" t="s">
        <v>334</v>
      </c>
      <c r="Q6" s="3321" t="s">
        <v>294</v>
      </c>
      <c r="R6" s="3322" t="s">
        <v>323</v>
      </c>
      <c r="S6" s="3323" t="s">
        <v>297</v>
      </c>
      <c r="T6" s="3324" t="s">
        <v>298</v>
      </c>
      <c r="U6" s="3325" t="s">
        <v>299</v>
      </c>
      <c r="V6" s="3326" t="s">
        <v>301</v>
      </c>
      <c r="W6" s="3327" t="s">
        <v>302</v>
      </c>
      <c r="X6" s="3328" t="s">
        <v>304</v>
      </c>
      <c r="Y6" s="3329" t="s">
        <v>320</v>
      </c>
      <c r="AA6" s="3776"/>
      <c r="AB6" s="3777"/>
      <c r="AC6" s="3778"/>
      <c r="AD6" s="3778"/>
      <c r="AE6" s="3778"/>
      <c r="AF6" s="3778"/>
      <c r="AG6" s="3778"/>
      <c r="AH6" s="3779"/>
    </row>
    <row r="7" spans="1:34">
      <c r="B7" s="3261" t="s">
        <v>263</v>
      </c>
      <c r="C7" s="3330"/>
      <c r="D7" s="3331"/>
      <c r="E7" s="3332"/>
      <c r="F7" s="3332"/>
      <c r="G7" s="3333"/>
      <c r="H7" s="3330"/>
      <c r="I7" s="3332"/>
      <c r="J7" s="3334"/>
      <c r="K7" s="3330"/>
      <c r="L7" s="3332"/>
      <c r="M7" s="3334"/>
      <c r="N7" s="3330"/>
      <c r="O7" s="3332"/>
      <c r="P7" s="3332"/>
      <c r="Q7" s="3332"/>
      <c r="R7" s="3334"/>
      <c r="S7" s="3330"/>
      <c r="T7" s="3332"/>
      <c r="U7" s="3334"/>
      <c r="V7" s="3335"/>
      <c r="W7" s="3336"/>
      <c r="X7" s="3337"/>
      <c r="Y7" s="3338"/>
      <c r="AA7" s="3432"/>
      <c r="AB7" s="3491"/>
      <c r="AC7" s="3780"/>
      <c r="AD7" s="3780"/>
      <c r="AE7" s="3780"/>
      <c r="AF7" s="3780"/>
      <c r="AG7" s="3780"/>
      <c r="AH7" s="3781"/>
    </row>
    <row r="8" spans="1:34" s="3295" customFormat="1">
      <c r="B8" s="3339" t="s">
        <v>280</v>
      </c>
      <c r="C8" s="3340"/>
      <c r="D8" s="3341"/>
      <c r="E8" s="3342">
        <f>IF('Overall Degree Completion PMS I'!$R23&gt;0,'Overall Degree Completion PMS I'!$R23,0)</f>
        <v>125.99999999999955</v>
      </c>
      <c r="F8" s="3342">
        <f>IF('Overall Degree Completion PMS I'!$R25&gt;0,'Overall Degree Completion PMS I'!$R25,0)</f>
        <v>24</v>
      </c>
      <c r="G8" s="3343">
        <f>IF('Overall Degree Completion PMS I'!$R27&gt;0,'Overall Degree Completion PMS I'!$R27,0)</f>
        <v>0</v>
      </c>
      <c r="H8" s="3340"/>
      <c r="I8" s="3342"/>
      <c r="J8" s="3344">
        <f>IF('At-Risk Student Degree PMS II'!$R19&gt;0,'At-Risk Student Degree PMS II'!$R19,0)</f>
        <v>155.33333333333337</v>
      </c>
      <c r="K8" s="3340">
        <f>IF('High Impact Degree PMS III'!$R15&gt;0,'High Impact Degree PMS III'!$R15,0)</f>
        <v>74.999999999999943</v>
      </c>
      <c r="L8" s="3342">
        <f>IF('High Impact Degree PMS III'!$R17&gt;0,'High Impact Degree PMS III'!$R17,0)</f>
        <v>14.333333333333336</v>
      </c>
      <c r="M8" s="3344">
        <f>IF('High Impact Degree PMS III'!$R19&gt;0,'High Impact Degree PMS III'!$R19,0)</f>
        <v>8.6666666666666661</v>
      </c>
      <c r="N8" s="3340"/>
      <c r="O8" s="3342"/>
      <c r="P8" s="3342"/>
      <c r="Q8" s="3342"/>
      <c r="R8" s="3344"/>
      <c r="S8" s="3340"/>
      <c r="T8" s="3342"/>
      <c r="U8" s="3344"/>
      <c r="V8" s="3302"/>
      <c r="W8" s="3344">
        <f>IF('On-time Graduation Rate PMS VI'!$R25&gt;0,'On-time Graduation Rate PMS VI'!$R25,0)</f>
        <v>181.66666666666674</v>
      </c>
      <c r="X8" s="3345" t="str">
        <f>'Institutional Eff PMS VII'!X8</f>
        <v>SIG/MOD</v>
      </c>
      <c r="Y8" s="3346">
        <f>Y9/$Y$69</f>
        <v>0.12757123238537504</v>
      </c>
      <c r="AA8" s="3396"/>
      <c r="AB8" s="3491"/>
      <c r="AC8" s="3780"/>
      <c r="AD8" s="3780"/>
      <c r="AE8" s="3780"/>
      <c r="AF8" s="3780"/>
      <c r="AG8" s="3780"/>
      <c r="AH8" s="3781"/>
    </row>
    <row r="9" spans="1:34" ht="14.4" thickBot="1">
      <c r="B9" s="3347" t="s">
        <v>281</v>
      </c>
      <c r="C9" s="3348"/>
      <c r="D9" s="3349"/>
      <c r="E9" s="3350">
        <f>VLOOKUP(E$6,'Weighting and Rates PFF'!$G$30:$H$34,2,0)*E8</f>
        <v>982169.99999999651</v>
      </c>
      <c r="F9" s="3350">
        <f>VLOOKUP(F$6,'Weighting and Rates PFF'!$G$30:$H$34,2,0)*F8</f>
        <v>93540</v>
      </c>
      <c r="G9" s="3351">
        <f>VLOOKUP(G$6,'Weighting and Rates PFF'!$G$30:$H$34,2,0)*G8</f>
        <v>0</v>
      </c>
      <c r="H9" s="3348"/>
      <c r="I9" s="3350"/>
      <c r="J9" s="3352">
        <f>VLOOKUP(J$6,'Weighting and Rates PFF'!$G$36:$H$38,2,0)*J8</f>
        <v>854841.27333333343</v>
      </c>
      <c r="K9" s="3353">
        <f>VLOOKUP(K$6,'Weighting and Rates PFF'!$G$40:$H$42,2,0)*K8</f>
        <v>1461854.8124999991</v>
      </c>
      <c r="L9" s="3354">
        <f>VLOOKUP(L$6,'Weighting and Rates PFF'!$G$40:$H$42,2,0)*L8</f>
        <v>201138.93208333335</v>
      </c>
      <c r="M9" s="3355">
        <f>VLOOKUP(M$6,'Weighting and Rates PFF'!$G$40:$H$42,2,0)*M8</f>
        <v>59120.527916666666</v>
      </c>
      <c r="N9" s="3348"/>
      <c r="O9" s="3350"/>
      <c r="P9" s="3350"/>
      <c r="Q9" s="3350"/>
      <c r="R9" s="3352"/>
      <c r="S9" s="3348"/>
      <c r="T9" s="3350"/>
      <c r="U9" s="3352"/>
      <c r="V9" s="3356"/>
      <c r="W9" s="3357">
        <f>IF(W8&gt;0,W8*'Weighting and Rates PFF'!$H$55,0)</f>
        <v>4164017.5458333353</v>
      </c>
      <c r="X9" s="3358">
        <f>'Weighting and Rates PFF'!K57</f>
        <v>676006.71749999991</v>
      </c>
      <c r="Y9" s="3359">
        <f>SUM(C9:X9)</f>
        <v>8492689.8091666643</v>
      </c>
      <c r="AA9" s="3500" t="str">
        <f>B7</f>
        <v>IUB</v>
      </c>
      <c r="AB9" s="3782">
        <f>(C9+D9+E9+F9+G9)/$Y9</f>
        <v>0.1266630507143825</v>
      </c>
      <c r="AC9" s="3783">
        <f>(H9+I9+J9)/$Y9</f>
        <v>0.10065612809862107</v>
      </c>
      <c r="AD9" s="3784">
        <f>(K9+L9+M9)/$Y9</f>
        <v>0.20277607109130713</v>
      </c>
      <c r="AE9" s="3783">
        <f>SUM(N9:R9)/$Y9</f>
        <v>0</v>
      </c>
      <c r="AF9" s="3783">
        <f>SUM(S9:U9)/$Y9</f>
        <v>0</v>
      </c>
      <c r="AG9" s="3784">
        <f>SUM(V9:W9)/$Y9</f>
        <v>0.49030609140332243</v>
      </c>
      <c r="AH9" s="3785">
        <f>X9/$Y9</f>
        <v>7.9598658692366903E-2</v>
      </c>
    </row>
    <row r="10" spans="1:34">
      <c r="B10" s="3261" t="s">
        <v>265</v>
      </c>
      <c r="C10" s="3340"/>
      <c r="D10" s="3341"/>
      <c r="E10" s="3342"/>
      <c r="F10" s="3342"/>
      <c r="G10" s="3343"/>
      <c r="H10" s="3340"/>
      <c r="I10" s="3342"/>
      <c r="J10" s="3344"/>
      <c r="K10" s="3340"/>
      <c r="L10" s="3342"/>
      <c r="M10" s="3344"/>
      <c r="N10" s="3340"/>
      <c r="O10" s="3342"/>
      <c r="P10" s="3342"/>
      <c r="Q10" s="3342"/>
      <c r="R10" s="3344"/>
      <c r="S10" s="3340"/>
      <c r="T10" s="3342"/>
      <c r="U10" s="3344"/>
      <c r="V10" s="3360"/>
      <c r="W10" s="3361"/>
      <c r="X10" s="3345"/>
      <c r="Y10" s="3338"/>
      <c r="AA10" s="3786"/>
      <c r="AB10" s="3481"/>
      <c r="AC10" s="3787"/>
      <c r="AD10" s="3787"/>
      <c r="AE10" s="3787"/>
      <c r="AF10" s="3787"/>
      <c r="AG10" s="3787"/>
      <c r="AH10" s="3788"/>
    </row>
    <row r="11" spans="1:34" s="3295" customFormat="1">
      <c r="B11" s="3339" t="s">
        <v>280</v>
      </c>
      <c r="C11" s="3340"/>
      <c r="D11" s="3341"/>
      <c r="E11" s="3342">
        <f>IF('Overall Degree Completion PMS I'!$R35&gt;0,'Overall Degree Completion PMS I'!$R35,0)</f>
        <v>50.333333333333343</v>
      </c>
      <c r="F11" s="3342">
        <f>IF('Overall Degree Completion PMS I'!$R37&gt;0,'Overall Degree Completion PMS I'!$R37,0)</f>
        <v>12</v>
      </c>
      <c r="G11" s="3343">
        <f>IF('Overall Degree Completion PMS I'!$R39&gt;0,'Overall Degree Completion PMS I'!$R39,0)</f>
        <v>0</v>
      </c>
      <c r="H11" s="3340"/>
      <c r="I11" s="3342"/>
      <c r="J11" s="3344">
        <f>IF('At-Risk Student Degree PMS II'!$R27&gt;0,'At-Risk Student Degree PMS II'!$R27,0)</f>
        <v>42</v>
      </c>
      <c r="K11" s="3340"/>
      <c r="L11" s="3342"/>
      <c r="M11" s="3344"/>
      <c r="N11" s="3362"/>
      <c r="O11" s="3342"/>
      <c r="P11" s="3342">
        <f>IF('Student Persistence PMS IV'!$R24&gt;0,'Student Persistence PMS IV'!$R24,0)</f>
        <v>42.666666666666657</v>
      </c>
      <c r="Q11" s="3342"/>
      <c r="R11" s="3344">
        <f>IF('Student Persistence PMS IV'!$R25&gt;0,'Student Persistence PMS IV'!$R25,0)</f>
        <v>70.000000000000028</v>
      </c>
      <c r="S11" s="3340"/>
      <c r="T11" s="3342"/>
      <c r="U11" s="3344"/>
      <c r="V11" s="3363"/>
      <c r="W11" s="3344">
        <f>IF('On-time Graduation Rate PMS VI'!$R36&gt;0,'On-time Graduation Rate PMS VI'!$R36,0)</f>
        <v>0</v>
      </c>
      <c r="X11" s="3345" t="str">
        <f>'Institutional Eff PMS VII'!X9</f>
        <v>SIG/MOD</v>
      </c>
      <c r="Y11" s="3346">
        <f>Y12/$Y$69</f>
        <v>1.2636466844822655E-2</v>
      </c>
      <c r="AA11" s="3396"/>
      <c r="AB11" s="3491"/>
      <c r="AC11" s="3780"/>
      <c r="AD11" s="3780"/>
      <c r="AE11" s="3780"/>
      <c r="AF11" s="3780"/>
      <c r="AG11" s="3780"/>
      <c r="AH11" s="3781"/>
    </row>
    <row r="12" spans="1:34" ht="14.4" thickBot="1">
      <c r="B12" s="3347" t="s">
        <v>281</v>
      </c>
      <c r="C12" s="3348"/>
      <c r="D12" s="3349"/>
      <c r="E12" s="3350">
        <f>VLOOKUP(E$6,'Weighting and Rates PFF'!$G$30:$H$34,2,0)*E11</f>
        <v>392348.33333333343</v>
      </c>
      <c r="F12" s="3350">
        <f>VLOOKUP(F$6,'Weighting and Rates PFF'!$G$30:$H$34,2,0)*F11</f>
        <v>46770</v>
      </c>
      <c r="G12" s="3351">
        <f>VLOOKUP(G$6,'Weighting and Rates PFF'!$G$30:$H$34,2,0)*G11</f>
        <v>0</v>
      </c>
      <c r="H12" s="3348"/>
      <c r="I12" s="3350"/>
      <c r="J12" s="3352">
        <f>VLOOKUP(J$6,'Weighting and Rates PFF'!$G$36:$H$38,2,0)*J11</f>
        <v>231137.33999999997</v>
      </c>
      <c r="K12" s="3348"/>
      <c r="L12" s="3350"/>
      <c r="M12" s="3352"/>
      <c r="N12" s="3348"/>
      <c r="O12" s="3350"/>
      <c r="P12" s="3354">
        <f>VLOOKUP(P$6,'Weighting and Rates PFF'!$G$44:$H$48,2,0)*'Summary of PFF Metrics 2015'!P11</f>
        <v>32639.999999999993</v>
      </c>
      <c r="Q12" s="3354"/>
      <c r="R12" s="3355">
        <f>VLOOKUP(R$6,'Weighting and Rates PFF'!$G$44:$H$48,2,0)*'Summary of PFF Metrics 2015'!R11</f>
        <v>107100.00000000004</v>
      </c>
      <c r="S12" s="3348"/>
      <c r="T12" s="3350"/>
      <c r="U12" s="3352"/>
      <c r="V12" s="3364"/>
      <c r="W12" s="3357">
        <f>IF(W11&gt;0,W11*'Weighting and Rates PFF'!$H$55,0)</f>
        <v>0</v>
      </c>
      <c r="X12" s="3358">
        <f>'Weighting and Rates PFF'!K58</f>
        <v>31240.953374999997</v>
      </c>
      <c r="Y12" s="3359">
        <f>SUM(C12:X12)</f>
        <v>841236.62670833338</v>
      </c>
      <c r="AA12" s="3500" t="str">
        <f>B10</f>
        <v>IUE</v>
      </c>
      <c r="AB12" s="3789">
        <f>(C12+D12+E12+F12+G12)/$Y12</f>
        <v>0.52199145804142566</v>
      </c>
      <c r="AC12" s="3783">
        <f>(H12+I12+J12)/$Y12</f>
        <v>0.27475900675463338</v>
      </c>
      <c r="AD12" s="3783">
        <f>(K12+L12+M12)/$Y12</f>
        <v>0</v>
      </c>
      <c r="AE12" s="3783">
        <f>SUM(N12:R12)/$Y12</f>
        <v>0.16611259610365198</v>
      </c>
      <c r="AF12" s="3783">
        <f>SUM(S12:U12)/$Y12</f>
        <v>0</v>
      </c>
      <c r="AG12" s="3783">
        <f>SUM(V12:W12)/$Y12</f>
        <v>0</v>
      </c>
      <c r="AH12" s="3790">
        <f>X12/$Y12</f>
        <v>3.7136939100289083E-2</v>
      </c>
    </row>
    <row r="13" spans="1:34">
      <c r="B13" s="3365" t="s">
        <v>264</v>
      </c>
      <c r="C13" s="3340"/>
      <c r="D13" s="3341"/>
      <c r="E13" s="3342"/>
      <c r="F13" s="3342"/>
      <c r="G13" s="3343"/>
      <c r="H13" s="3340"/>
      <c r="I13" s="3342"/>
      <c r="J13" s="3344"/>
      <c r="K13" s="3340"/>
      <c r="L13" s="3342"/>
      <c r="M13" s="3344"/>
      <c r="N13" s="3340"/>
      <c r="O13" s="3342"/>
      <c r="P13" s="3342"/>
      <c r="Q13" s="3342"/>
      <c r="R13" s="3344"/>
      <c r="S13" s="3340"/>
      <c r="T13" s="3342"/>
      <c r="U13" s="3344"/>
      <c r="V13" s="3363"/>
      <c r="W13" s="3361"/>
      <c r="X13" s="3345"/>
      <c r="Y13" s="3338"/>
      <c r="AA13" s="3786"/>
      <c r="AB13" s="3481"/>
      <c r="AC13" s="3787"/>
      <c r="AD13" s="3787"/>
      <c r="AE13" s="3787"/>
      <c r="AF13" s="3787"/>
      <c r="AG13" s="3787"/>
      <c r="AH13" s="3788"/>
    </row>
    <row r="14" spans="1:34" s="3295" customFormat="1">
      <c r="B14" s="3295" t="s">
        <v>280</v>
      </c>
      <c r="C14" s="3340"/>
      <c r="D14" s="3341"/>
      <c r="E14" s="3342">
        <f>IF('Overall Degree Completion PMS I'!$R47&gt;0,'Overall Degree Completion PMS I'!$R47,0)</f>
        <v>77</v>
      </c>
      <c r="F14" s="3342">
        <f>IF('Overall Degree Completion PMS I'!$R49&gt;0,'Overall Degree Completion PMS I'!$R49,0)</f>
        <v>11.666666666666668</v>
      </c>
      <c r="G14" s="3343">
        <f>IF('Overall Degree Completion PMS I'!$R51&gt;0,'Overall Degree Completion PMS I'!$R51,0)</f>
        <v>0</v>
      </c>
      <c r="H14" s="3340"/>
      <c r="I14" s="3342"/>
      <c r="J14" s="3344">
        <f>IF('At-Risk Student Degree PMS II'!$R35&gt;0,'At-Risk Student Degree PMS II'!$R35,0)</f>
        <v>44.666666666666671</v>
      </c>
      <c r="K14" s="3340"/>
      <c r="L14" s="3342"/>
      <c r="M14" s="3344"/>
      <c r="N14" s="3362"/>
      <c r="O14" s="3342"/>
      <c r="P14" s="3342">
        <f>IF('Student Persistence PMS IV'!$R35&gt;0,'Student Persistence PMS IV'!$R35,0)</f>
        <v>16.666666666666657</v>
      </c>
      <c r="Q14" s="3342"/>
      <c r="R14" s="3344">
        <f>IF('Student Persistence PMS IV'!$R36&gt;0,'Student Persistence PMS IV'!$R36,0)</f>
        <v>2</v>
      </c>
      <c r="S14" s="3340"/>
      <c r="T14" s="3342"/>
      <c r="U14" s="3344"/>
      <c r="V14" s="3363"/>
      <c r="W14" s="3344">
        <v>0</v>
      </c>
      <c r="X14" s="3345" t="str">
        <f>'Institutional Eff PMS VII'!X10</f>
        <v>SIG/SIG</v>
      </c>
      <c r="Y14" s="3346">
        <f>Y15/$Y$69</f>
        <v>1.4422066715813173E-2</v>
      </c>
      <c r="AA14" s="3396"/>
      <c r="AB14" s="3491"/>
      <c r="AC14" s="3780"/>
      <c r="AD14" s="3780"/>
      <c r="AE14" s="3780"/>
      <c r="AF14" s="3780"/>
      <c r="AG14" s="3780"/>
      <c r="AH14" s="3781"/>
    </row>
    <row r="15" spans="1:34" s="3366" customFormat="1" ht="14.4" thickBot="1">
      <c r="B15" s="3367" t="s">
        <v>281</v>
      </c>
      <c r="C15" s="3353"/>
      <c r="D15" s="3368"/>
      <c r="E15" s="3354">
        <f>VLOOKUP(E$6,'Weighting and Rates PFF'!$G$30:$H$34,2,0)*E14</f>
        <v>600215</v>
      </c>
      <c r="F15" s="3354">
        <f>VLOOKUP(F$6,'Weighting and Rates PFF'!$G$30:$H$34,2,0)*F14</f>
        <v>45470.833333333336</v>
      </c>
      <c r="G15" s="3369">
        <f>VLOOKUP(G$6,'Weighting and Rates PFF'!$G$30:$H$34,2,0)*G14</f>
        <v>0</v>
      </c>
      <c r="H15" s="3353"/>
      <c r="I15" s="3354"/>
      <c r="J15" s="3355">
        <f>VLOOKUP(J$6,'Weighting and Rates PFF'!$G$36:$H$38,2,0)*J14</f>
        <v>245812.72666666668</v>
      </c>
      <c r="K15" s="3353"/>
      <c r="L15" s="3354"/>
      <c r="M15" s="3355"/>
      <c r="N15" s="3370"/>
      <c r="O15" s="3354"/>
      <c r="P15" s="3354">
        <f>VLOOKUP(P$6,'Weighting and Rates PFF'!$G$44:$H$48,2,0)*'Summary of PFF Metrics 2015'!P14</f>
        <v>12749.999999999993</v>
      </c>
      <c r="Q15" s="3354"/>
      <c r="R15" s="3355">
        <f>VLOOKUP(R$6,'Weighting and Rates PFF'!$G$44:$H$48,2,0)*'Summary of PFF Metrics 2015'!R14</f>
        <v>3060</v>
      </c>
      <c r="S15" s="3353"/>
      <c r="T15" s="3354"/>
      <c r="U15" s="3355"/>
      <c r="V15" s="3370"/>
      <c r="W15" s="3357">
        <f>IF(W14&gt;0,W14*'Weighting and Rates PFF'!$H$55,0)</f>
        <v>0</v>
      </c>
      <c r="X15" s="3358">
        <f>'Weighting and Rates PFF'!K59</f>
        <v>52799.269439999996</v>
      </c>
      <c r="Y15" s="3359">
        <f>SUM(C15:X15)</f>
        <v>960107.82944</v>
      </c>
      <c r="AA15" s="3500" t="str">
        <f>B13</f>
        <v>IUK</v>
      </c>
      <c r="AB15" s="3789">
        <f>(C15+D15+E15+F15+G15)/$Y15</f>
        <v>0.67251387139498819</v>
      </c>
      <c r="AC15" s="3783">
        <f>(H15+I15+J15)/$Y15</f>
        <v>0.25602616615473422</v>
      </c>
      <c r="AD15" s="3783">
        <f>(K15+L15+M15)/$Y15</f>
        <v>0</v>
      </c>
      <c r="AE15" s="3783">
        <f>SUM(N15:R15)/$Y15</f>
        <v>1.6466900399324372E-2</v>
      </c>
      <c r="AF15" s="3783">
        <f>SUM(S15:U15)/$Y15</f>
        <v>0</v>
      </c>
      <c r="AG15" s="3783">
        <f>SUM(V15:W15)/$Y15</f>
        <v>0</v>
      </c>
      <c r="AH15" s="3790">
        <f>X15/$Y15</f>
        <v>5.4993062050953286E-2</v>
      </c>
    </row>
    <row r="16" spans="1:34">
      <c r="B16" s="3261" t="s">
        <v>266</v>
      </c>
      <c r="C16" s="3340"/>
      <c r="D16" s="3341"/>
      <c r="E16" s="3342"/>
      <c r="F16" s="3342"/>
      <c r="G16" s="3343"/>
      <c r="H16" s="3340"/>
      <c r="I16" s="3342"/>
      <c r="J16" s="3344"/>
      <c r="K16" s="3340"/>
      <c r="L16" s="3342"/>
      <c r="M16" s="3344"/>
      <c r="N16" s="3340"/>
      <c r="O16" s="3342"/>
      <c r="P16" s="3342"/>
      <c r="Q16" s="3342"/>
      <c r="R16" s="3344"/>
      <c r="S16" s="3340"/>
      <c r="T16" s="3342"/>
      <c r="U16" s="3344"/>
      <c r="V16" s="3363"/>
      <c r="W16" s="3361"/>
      <c r="X16" s="3345"/>
      <c r="Y16" s="3338"/>
      <c r="AA16" s="3786"/>
      <c r="AB16" s="3481"/>
      <c r="AC16" s="3787"/>
      <c r="AD16" s="3787"/>
      <c r="AE16" s="3787"/>
      <c r="AF16" s="3787"/>
      <c r="AG16" s="3787"/>
      <c r="AH16" s="3788"/>
    </row>
    <row r="17" spans="2:34" s="3295" customFormat="1">
      <c r="B17" s="3339" t="s">
        <v>280</v>
      </c>
      <c r="C17" s="3340"/>
      <c r="D17" s="3341"/>
      <c r="E17" s="3342">
        <f>IF('Overall Degree Completion PMS I'!$R59&gt;0,'Overall Degree Completion PMS I'!$R59,0)</f>
        <v>22.333333333333314</v>
      </c>
      <c r="F17" s="3342">
        <f>IF('Overall Degree Completion PMS I'!$R61&gt;0,'Overall Degree Completion PMS I'!$R61,0)</f>
        <v>26.666666666666657</v>
      </c>
      <c r="G17" s="3343">
        <f>IF('Overall Degree Completion PMS I'!$R63&gt;0,'Overall Degree Completion PMS I'!$R63,0)</f>
        <v>0</v>
      </c>
      <c r="H17" s="3340"/>
      <c r="I17" s="3342"/>
      <c r="J17" s="3344">
        <f>IF('At-Risk Student Degree PMS II'!$R43&gt;0,'At-Risk Student Degree PMS II'!$R43,0)</f>
        <v>40.333333333333343</v>
      </c>
      <c r="K17" s="3340"/>
      <c r="L17" s="3342"/>
      <c r="M17" s="3344"/>
      <c r="N17" s="3362"/>
      <c r="O17" s="3342"/>
      <c r="P17" s="3342">
        <f>IF('Student Persistence PMS IV'!$R46&gt;0,'Student Persistence PMS IV'!$R46,0)</f>
        <v>180.66666666666669</v>
      </c>
      <c r="Q17" s="3342"/>
      <c r="R17" s="3344">
        <f>IF('Student Persistence PMS IV'!$R47&gt;0,'Student Persistence PMS IV'!$R47,0)</f>
        <v>107.66666666666674</v>
      </c>
      <c r="S17" s="3340"/>
      <c r="T17" s="3342"/>
      <c r="U17" s="3344"/>
      <c r="V17" s="3363"/>
      <c r="W17" s="3344">
        <f>IF('On-time Graduation Rate PMS VI'!$R58&gt;0,'On-time Graduation Rate PMS VI'!$R58,0)</f>
        <v>0</v>
      </c>
      <c r="X17" s="3345" t="str">
        <f>'Institutional Eff PMS VII'!X11</f>
        <v>SIG/NO</v>
      </c>
      <c r="Y17" s="3346">
        <f>Y18/$Y$69</f>
        <v>1.2061004837607196E-2</v>
      </c>
      <c r="AA17" s="3396"/>
      <c r="AB17" s="3491"/>
      <c r="AC17" s="3780"/>
      <c r="AD17" s="3780"/>
      <c r="AE17" s="3780"/>
      <c r="AF17" s="3780"/>
      <c r="AG17" s="3780"/>
      <c r="AH17" s="3781"/>
    </row>
    <row r="18" spans="2:34" s="3366" customFormat="1" ht="14.4" thickBot="1">
      <c r="B18" s="3367" t="s">
        <v>281</v>
      </c>
      <c r="C18" s="3353"/>
      <c r="D18" s="3368"/>
      <c r="E18" s="3354">
        <f>VLOOKUP(E$6,'Weighting and Rates PFF'!$G$30:$H$34,2,0)*E17</f>
        <v>174088.3333333332</v>
      </c>
      <c r="F18" s="3354">
        <f>VLOOKUP(F$6,'Weighting and Rates PFF'!$G$30:$H$34,2,0)*F17</f>
        <v>103933.3333333333</v>
      </c>
      <c r="G18" s="3369">
        <f>VLOOKUP(G$6,'Weighting and Rates PFF'!$G$30:$H$34,2,0)*G17</f>
        <v>0</v>
      </c>
      <c r="H18" s="3353"/>
      <c r="I18" s="3354"/>
      <c r="J18" s="3355">
        <f>VLOOKUP(J$6,'Weighting and Rates PFF'!$G$36:$H$38,2,0)*J17</f>
        <v>221965.22333333336</v>
      </c>
      <c r="K18" s="3353"/>
      <c r="L18" s="3354"/>
      <c r="M18" s="3355"/>
      <c r="N18" s="3370"/>
      <c r="O18" s="3354"/>
      <c r="P18" s="3354">
        <f>VLOOKUP(P$6,'Weighting and Rates PFF'!$G$44:$H$48,2,0)*'Summary of PFF Metrics 2015'!P17</f>
        <v>138210</v>
      </c>
      <c r="Q18" s="3354"/>
      <c r="R18" s="3355">
        <f>VLOOKUP(R$6,'Weighting and Rates PFF'!$G$44:$H$48,2,0)*'Summary of PFF Metrics 2015'!R17</f>
        <v>164730.00000000012</v>
      </c>
      <c r="S18" s="3353"/>
      <c r="T18" s="3354"/>
      <c r="U18" s="3355"/>
      <c r="V18" s="3370"/>
      <c r="W18" s="3357">
        <f>IF(W17&gt;0,W17*'Weighting and Rates PFF'!$H$55,0)</f>
        <v>0</v>
      </c>
      <c r="X18" s="3358">
        <f>'Weighting and Rates PFF'!K60</f>
        <v>0</v>
      </c>
      <c r="Y18" s="3359">
        <f>SUM(C18:X18)</f>
        <v>802926.89</v>
      </c>
      <c r="AA18" s="3396" t="str">
        <f>B16</f>
        <v>IUN</v>
      </c>
      <c r="AB18" s="3791">
        <f>(C18+D18+E18+F18+G18)/$Y18</f>
        <v>0.34626025124985726</v>
      </c>
      <c r="AC18" s="3792">
        <f>(H18+I18+J18)/$Y18</f>
        <v>0.27644512358196566</v>
      </c>
      <c r="AD18" s="3792">
        <f>(K18+L18+M18)/$Y18</f>
        <v>0</v>
      </c>
      <c r="AE18" s="3793">
        <f>SUM(N18:R18)/$Y18</f>
        <v>0.37729462516817702</v>
      </c>
      <c r="AF18" s="3792">
        <f>SUM(S18:U18)/$Y18</f>
        <v>0</v>
      </c>
      <c r="AG18" s="3792">
        <f>SUM(V18:W18)/$Y18</f>
        <v>0</v>
      </c>
      <c r="AH18" s="3794">
        <f>X18/$Y18</f>
        <v>0</v>
      </c>
    </row>
    <row r="19" spans="2:34">
      <c r="B19" s="3261" t="s">
        <v>267</v>
      </c>
      <c r="C19" s="3340"/>
      <c r="D19" s="3341"/>
      <c r="E19" s="3342"/>
      <c r="F19" s="3342"/>
      <c r="G19" s="3343"/>
      <c r="H19" s="3340"/>
      <c r="I19" s="3342"/>
      <c r="J19" s="3344"/>
      <c r="K19" s="3340"/>
      <c r="L19" s="3342"/>
      <c r="M19" s="3344"/>
      <c r="N19" s="3340"/>
      <c r="O19" s="3342"/>
      <c r="P19" s="3342"/>
      <c r="Q19" s="3342"/>
      <c r="R19" s="3344"/>
      <c r="S19" s="3340"/>
      <c r="T19" s="3342"/>
      <c r="U19" s="3344"/>
      <c r="V19" s="3363"/>
      <c r="W19" s="3361"/>
      <c r="X19" s="3345"/>
      <c r="Y19" s="3338"/>
      <c r="AA19" s="3786"/>
      <c r="AB19" s="3481"/>
      <c r="AC19" s="3787"/>
      <c r="AD19" s="3787"/>
      <c r="AE19" s="3787"/>
      <c r="AF19" s="3787"/>
      <c r="AG19" s="3787"/>
      <c r="AH19" s="3788"/>
    </row>
    <row r="20" spans="2:34" s="3295" customFormat="1">
      <c r="B20" s="3339" t="s">
        <v>280</v>
      </c>
      <c r="C20" s="3340"/>
      <c r="D20" s="3341"/>
      <c r="E20" s="3342">
        <f>IF('Overall Degree Completion PMS I'!$R71&gt;0,'Overall Degree Completion PMS I'!$R71,0)</f>
        <v>29.333333333333371</v>
      </c>
      <c r="F20" s="3342">
        <f>IF('Overall Degree Completion PMS I'!$R73&gt;0,'Overall Degree Completion PMS I'!$R73,0)</f>
        <v>0</v>
      </c>
      <c r="G20" s="3343">
        <f>IF('Overall Degree Completion PMS I'!$R73&gt;0,'Overall Degree Completion PMS I'!$R73,0)</f>
        <v>0</v>
      </c>
      <c r="H20" s="3340"/>
      <c r="I20" s="3342"/>
      <c r="J20" s="3344">
        <f>IF('At-Risk Student Degree PMS II'!$R51&gt;0,'At-Risk Student Degree PMS II'!$R51,0)</f>
        <v>53.666666666666657</v>
      </c>
      <c r="K20" s="3340"/>
      <c r="L20" s="3342"/>
      <c r="M20" s="3344"/>
      <c r="N20" s="3362"/>
      <c r="O20" s="3342"/>
      <c r="P20" s="3342">
        <f>IF('Student Persistence PMS IV'!$R57&gt;0,'Student Persistence PMS IV'!$R57,0)</f>
        <v>217.66666666666674</v>
      </c>
      <c r="Q20" s="3342"/>
      <c r="R20" s="3344">
        <f>IF('Student Persistence PMS IV'!$R58&gt;0,'Student Persistence PMS IV'!$R58,0)</f>
        <v>187</v>
      </c>
      <c r="S20" s="3340"/>
      <c r="T20" s="3342"/>
      <c r="U20" s="3344"/>
      <c r="V20" s="3363"/>
      <c r="W20" s="3344">
        <v>0</v>
      </c>
      <c r="X20" s="3345" t="str">
        <f>'Institutional Eff PMS VII'!X12</f>
        <v>SIG/NO</v>
      </c>
      <c r="Y20" s="3346">
        <f>Y21/$Y$69</f>
        <v>1.4670108326296449E-2</v>
      </c>
      <c r="AA20" s="3396"/>
      <c r="AB20" s="3491"/>
      <c r="AC20" s="3780"/>
      <c r="AD20" s="3780"/>
      <c r="AE20" s="3780"/>
      <c r="AF20" s="3780"/>
      <c r="AG20" s="3780"/>
      <c r="AH20" s="3781"/>
    </row>
    <row r="21" spans="2:34" s="3366" customFormat="1" ht="14.4" thickBot="1">
      <c r="B21" s="3367" t="s">
        <v>281</v>
      </c>
      <c r="C21" s="3353"/>
      <c r="D21" s="3368"/>
      <c r="E21" s="3354">
        <f>VLOOKUP(E$6,'Weighting and Rates PFF'!$G$30:$H$34,2,0)*E20</f>
        <v>228653.33333333363</v>
      </c>
      <c r="F21" s="3354">
        <f>VLOOKUP(F$6,'Weighting and Rates PFF'!$G$30:$H$34,2,0)*F20</f>
        <v>0</v>
      </c>
      <c r="G21" s="3369">
        <f>VLOOKUP(G$6,'Weighting and Rates PFF'!$G$30:$H$34,2,0)*G20</f>
        <v>0</v>
      </c>
      <c r="H21" s="3353"/>
      <c r="I21" s="3354"/>
      <c r="J21" s="3355">
        <f>VLOOKUP(J$6,'Weighting and Rates PFF'!$G$36:$H$38,2,0)*J20</f>
        <v>295342.15666666656</v>
      </c>
      <c r="K21" s="3353"/>
      <c r="L21" s="3354"/>
      <c r="M21" s="3355"/>
      <c r="N21" s="3370"/>
      <c r="O21" s="3354"/>
      <c r="P21" s="3354">
        <f>VLOOKUP(P$6,'Weighting and Rates PFF'!$G$44:$H$48,2,0)*'Summary of PFF Metrics 2015'!P20</f>
        <v>166515.00000000006</v>
      </c>
      <c r="Q21" s="3354"/>
      <c r="R21" s="3355">
        <f>VLOOKUP(R$6,'Weighting and Rates PFF'!$G$44:$H$48,2,0)*'Summary of PFF Metrics 2015'!R20</f>
        <v>286110</v>
      </c>
      <c r="S21" s="3353"/>
      <c r="T21" s="3354"/>
      <c r="U21" s="3355"/>
      <c r="V21" s="3370"/>
      <c r="W21" s="3357">
        <f>IF(W20&gt;0,W20*'Weighting and Rates PFF'!$H$55,0)</f>
        <v>0</v>
      </c>
      <c r="X21" s="3358">
        <f>'Weighting and Rates PFF'!K61</f>
        <v>0</v>
      </c>
      <c r="Y21" s="3359">
        <f>SUM(C21:X21)</f>
        <v>976620.49000000022</v>
      </c>
      <c r="AA21" s="3500" t="str">
        <f>B19</f>
        <v>IUSB</v>
      </c>
      <c r="AB21" s="3782">
        <f>(C21+D21+E21+F21+G21)/$Y21</f>
        <v>0.23412711045345114</v>
      </c>
      <c r="AC21" s="3783">
        <f>(H21+I21+J21)/$Y21</f>
        <v>0.30241241064547653</v>
      </c>
      <c r="AD21" s="3783">
        <f>(K21+L21+M21)/$Y21</f>
        <v>0</v>
      </c>
      <c r="AE21" s="3784">
        <f>SUM(N21:R21)/$Y21</f>
        <v>0.46346047890107239</v>
      </c>
      <c r="AF21" s="3783">
        <f>SUM(S21:U21)/$Y21</f>
        <v>0</v>
      </c>
      <c r="AG21" s="3783">
        <f>SUM(V21:W21)/$Y21</f>
        <v>0</v>
      </c>
      <c r="AH21" s="3790">
        <f>X21/$Y21</f>
        <v>0</v>
      </c>
    </row>
    <row r="22" spans="2:34">
      <c r="B22" s="3261" t="s">
        <v>268</v>
      </c>
      <c r="C22" s="3340"/>
      <c r="D22" s="3341"/>
      <c r="E22" s="3342"/>
      <c r="F22" s="3342"/>
      <c r="G22" s="3343"/>
      <c r="H22" s="3340"/>
      <c r="I22" s="3342"/>
      <c r="J22" s="3344"/>
      <c r="K22" s="3340"/>
      <c r="L22" s="3342"/>
      <c r="M22" s="3344"/>
      <c r="N22" s="3340"/>
      <c r="O22" s="3342"/>
      <c r="P22" s="3342"/>
      <c r="Q22" s="3342"/>
      <c r="R22" s="3344"/>
      <c r="S22" s="3340"/>
      <c r="T22" s="3342"/>
      <c r="U22" s="3344"/>
      <c r="V22" s="3363"/>
      <c r="W22" s="3361"/>
      <c r="X22" s="3345"/>
      <c r="Y22" s="3338"/>
      <c r="AA22" s="3786"/>
      <c r="AB22" s="3481"/>
      <c r="AC22" s="3787"/>
      <c r="AD22" s="3787"/>
      <c r="AE22" s="3787"/>
      <c r="AF22" s="3787"/>
      <c r="AG22" s="3787"/>
      <c r="AH22" s="3788"/>
    </row>
    <row r="23" spans="2:34" s="3295" customFormat="1">
      <c r="B23" s="3339" t="s">
        <v>280</v>
      </c>
      <c r="C23" s="3340"/>
      <c r="D23" s="3341"/>
      <c r="E23" s="3342">
        <f>IF('Overall Degree Completion PMS I'!$R83&gt;0,'Overall Degree Completion PMS I'!$R83,0)</f>
        <v>0</v>
      </c>
      <c r="F23" s="3342">
        <f>IF('Overall Degree Completion PMS I'!$R85&gt;0,'Overall Degree Completion PMS I'!$R85,0)</f>
        <v>0</v>
      </c>
      <c r="G23" s="3343">
        <f>IF('Overall Degree Completion PMS I'!$R87&gt;0,'Overall Degree Completion PMS I'!$R87,0)</f>
        <v>0</v>
      </c>
      <c r="H23" s="3340"/>
      <c r="I23" s="3342"/>
      <c r="J23" s="3344">
        <f>IF('At-Risk Student Degree PMS II'!$R59&gt;0,'At-Risk Student Degree PMS II'!$R59,0)</f>
        <v>31.333333333333343</v>
      </c>
      <c r="K23" s="3340"/>
      <c r="L23" s="3342"/>
      <c r="M23" s="3344"/>
      <c r="N23" s="3362"/>
      <c r="O23" s="3342"/>
      <c r="P23" s="3342">
        <f>IF('Student Persistence PMS IV'!$R68&gt;0,'Student Persistence PMS IV'!$R68,0)</f>
        <v>94</v>
      </c>
      <c r="Q23" s="3342"/>
      <c r="R23" s="3344">
        <f>IF('Student Persistence PMS IV'!$R69&gt;0,'Student Persistence PMS IV'!$R69,0)</f>
        <v>109.33333333333326</v>
      </c>
      <c r="S23" s="3340"/>
      <c r="T23" s="3342"/>
      <c r="U23" s="3344"/>
      <c r="V23" s="3363"/>
      <c r="W23" s="3344">
        <f>IF('On-time Graduation Rate PMS VI'!$R80&gt;0,'On-time Graduation Rate PMS VI'!$R80,0)</f>
        <v>5.3333333333333286</v>
      </c>
      <c r="X23" s="3345" t="str">
        <f>'Institutional Eff PMS VII'!X13</f>
        <v>SIG/NO</v>
      </c>
      <c r="Y23" s="3346">
        <f>Y24/$Y$69</f>
        <v>8.0194536088384061E-3</v>
      </c>
      <c r="AA23" s="3396"/>
      <c r="AB23" s="3491"/>
      <c r="AC23" s="3780"/>
      <c r="AD23" s="3780"/>
      <c r="AE23" s="3780"/>
      <c r="AF23" s="3780"/>
      <c r="AG23" s="3780"/>
      <c r="AH23" s="3781"/>
    </row>
    <row r="24" spans="2:34" s="3366" customFormat="1" ht="14.4" thickBot="1">
      <c r="B24" s="3367" t="s">
        <v>281</v>
      </c>
      <c r="C24" s="3353"/>
      <c r="D24" s="3368"/>
      <c r="E24" s="3354">
        <f>VLOOKUP(E$6,'Weighting and Rates PFF'!$G$30:$H$34,2,0)*E23</f>
        <v>0</v>
      </c>
      <c r="F24" s="3354">
        <f>VLOOKUP(F$6,'Weighting and Rates PFF'!$G$30:$H$34,2,0)*F23</f>
        <v>0</v>
      </c>
      <c r="G24" s="3369">
        <f>VLOOKUP(G$6,'Weighting and Rates PFF'!$G$30:$H$34,2,0)*G23</f>
        <v>0</v>
      </c>
      <c r="H24" s="3353"/>
      <c r="I24" s="3354"/>
      <c r="J24" s="3355">
        <f>VLOOKUP(J$6,'Weighting and Rates PFF'!$G$36:$H$38,2,0)*J23</f>
        <v>172435.79333333336</v>
      </c>
      <c r="K24" s="3353"/>
      <c r="L24" s="3354"/>
      <c r="M24" s="3355"/>
      <c r="N24" s="3370"/>
      <c r="O24" s="3354"/>
      <c r="P24" s="3354">
        <f>VLOOKUP(P$6,'Weighting and Rates PFF'!$G$44:$H$48,2,0)*'Summary of PFF Metrics 2015'!P23</f>
        <v>71910</v>
      </c>
      <c r="Q24" s="3354"/>
      <c r="R24" s="3355">
        <f>VLOOKUP(R$6,'Weighting and Rates PFF'!$G$44:$H$48,2,0)*'Summary of PFF Metrics 2015'!R23</f>
        <v>167279.99999999988</v>
      </c>
      <c r="S24" s="3353"/>
      <c r="T24" s="3354"/>
      <c r="U24" s="3355"/>
      <c r="V24" s="3370"/>
      <c r="W24" s="3357">
        <f>IF(W23&gt;0,W23*'Weighting and Rates PFF'!$H$55,0)</f>
        <v>122246.38666666657</v>
      </c>
      <c r="X24" s="3358">
        <f>'Weighting and Rates PFF'!K62</f>
        <v>0</v>
      </c>
      <c r="Y24" s="3359">
        <f>SUM(C24:X24)</f>
        <v>533872.17999999982</v>
      </c>
      <c r="AA24" s="3500" t="str">
        <f>B22</f>
        <v>IUS</v>
      </c>
      <c r="AB24" s="3782">
        <f>(C24+D24+E24+F24+G24)/$Y24</f>
        <v>0</v>
      </c>
      <c r="AC24" s="3783">
        <f>(H24+I24+J24)/$Y24</f>
        <v>0.322990782799983</v>
      </c>
      <c r="AD24" s="3783">
        <f>(K24+L24+M24)/$Y24</f>
        <v>0</v>
      </c>
      <c r="AE24" s="3784">
        <f>SUM(N24:R24)/$Y24</f>
        <v>0.44802858991453715</v>
      </c>
      <c r="AF24" s="3783">
        <f>SUM(S24:U24)/$Y24</f>
        <v>0</v>
      </c>
      <c r="AG24" s="3783">
        <f>SUM(V24:W24)/$Y24</f>
        <v>0.22898062728547985</v>
      </c>
      <c r="AH24" s="3790">
        <f>X24/$Y24</f>
        <v>0</v>
      </c>
    </row>
    <row r="25" spans="2:34" s="3295" customFormat="1">
      <c r="B25" s="3365" t="s">
        <v>485</v>
      </c>
      <c r="C25" s="3340"/>
      <c r="D25" s="3341"/>
      <c r="E25" s="3342"/>
      <c r="F25" s="3342"/>
      <c r="G25" s="3343"/>
      <c r="H25" s="3340"/>
      <c r="I25" s="3342"/>
      <c r="J25" s="3344"/>
      <c r="K25" s="3340"/>
      <c r="L25" s="3342"/>
      <c r="M25" s="3344"/>
      <c r="N25" s="3340"/>
      <c r="O25" s="3342"/>
      <c r="P25" s="3342"/>
      <c r="Q25" s="3342"/>
      <c r="R25" s="3344"/>
      <c r="S25" s="3340"/>
      <c r="T25" s="3342"/>
      <c r="U25" s="3344"/>
      <c r="V25" s="3363"/>
      <c r="W25" s="3361"/>
      <c r="X25" s="3345"/>
      <c r="Y25" s="3338"/>
      <c r="AA25" s="3795"/>
      <c r="AB25" s="3481"/>
      <c r="AC25" s="3787"/>
      <c r="AD25" s="3787"/>
      <c r="AE25" s="3787"/>
      <c r="AF25" s="3787"/>
      <c r="AG25" s="3787"/>
      <c r="AH25" s="3788"/>
    </row>
    <row r="26" spans="2:34" s="3295" customFormat="1">
      <c r="B26" s="3339" t="s">
        <v>280</v>
      </c>
      <c r="C26" s="3340"/>
      <c r="D26" s="3341"/>
      <c r="E26" s="3342">
        <f>IF('Overall Degree Completion PMS I'!$R95&gt;0,'Overall Degree Completion PMS I'!$R95,0)</f>
        <v>357</v>
      </c>
      <c r="F26" s="3342">
        <f>IF('Overall Degree Completion PMS I'!$R97&gt;0,'Overall Degree Completion PMS I'!$R97,0)</f>
        <v>96</v>
      </c>
      <c r="G26" s="3343">
        <f>IF('Overall Degree Completion PMS I'!$R99&gt;0,'Overall Degree Completion PMS I'!$R99,0)</f>
        <v>0</v>
      </c>
      <c r="H26" s="3340"/>
      <c r="I26" s="3342"/>
      <c r="J26" s="3344">
        <f>IF('At-Risk Student Degree PMS II'!$R67&gt;0,'At-Risk Student Degree PMS II'!$R67,0)</f>
        <v>255</v>
      </c>
      <c r="K26" s="3340">
        <f>IF('High Impact Degree PMS III'!$R23&gt;0,'High Impact Degree PMS III'!$R23,0)</f>
        <v>36.999999999999943</v>
      </c>
      <c r="L26" s="3342">
        <f>IF('High Impact Degree PMS III'!$R25&gt;0,'High Impact Degree PMS III'!$R25,0)</f>
        <v>10.666666666666686</v>
      </c>
      <c r="M26" s="3344">
        <f>IF('High Impact Degree PMS III'!$R27&gt;0,'High Impact Degree PMS III'!$R27,0)</f>
        <v>0</v>
      </c>
      <c r="N26" s="3340"/>
      <c r="O26" s="3342"/>
      <c r="P26" s="3342"/>
      <c r="Q26" s="3342"/>
      <c r="R26" s="3344"/>
      <c r="S26" s="3340"/>
      <c r="T26" s="3342"/>
      <c r="U26" s="3344"/>
      <c r="V26" s="3363"/>
      <c r="W26" s="3344">
        <f>IF('On-time Graduation Rate PMS VI'!$R91&gt;0,'On-time Graduation Rate PMS VI'!$R91,0)</f>
        <v>90.333333333333314</v>
      </c>
      <c r="X26" s="3345" t="str">
        <f>'Institutional Eff PMS VII'!X14</f>
        <v>SIG/MOD</v>
      </c>
      <c r="Y26" s="3346">
        <f>Y27/$Y$69</f>
        <v>0.1177611581174671</v>
      </c>
      <c r="AA26" s="3396"/>
      <c r="AB26" s="3491"/>
      <c r="AC26" s="3780"/>
      <c r="AD26" s="3780"/>
      <c r="AE26" s="3780"/>
      <c r="AF26" s="3780"/>
      <c r="AG26" s="3780"/>
      <c r="AH26" s="3781"/>
    </row>
    <row r="27" spans="2:34" s="3366" customFormat="1" ht="14.4" thickBot="1">
      <c r="B27" s="3367" t="s">
        <v>281</v>
      </c>
      <c r="C27" s="3353"/>
      <c r="D27" s="3368"/>
      <c r="E27" s="3354">
        <f>VLOOKUP(E$6,'Weighting and Rates PFF'!$G$30:$H$34,2,0)*E26</f>
        <v>2782815</v>
      </c>
      <c r="F27" s="3354">
        <f>VLOOKUP(F$6,'Weighting and Rates PFF'!$G$30:$H$34,2,0)*F26</f>
        <v>374160</v>
      </c>
      <c r="G27" s="3369">
        <f>VLOOKUP(G$6,'Weighting and Rates PFF'!$G$30:$H$34,2,0)*G26</f>
        <v>0</v>
      </c>
      <c r="H27" s="3353"/>
      <c r="I27" s="3354"/>
      <c r="J27" s="3355">
        <f>VLOOKUP(J$6,'Weighting and Rates PFF'!$G$36:$H$38,2,0)*J26</f>
        <v>1403333.8499999999</v>
      </c>
      <c r="K27" s="3353">
        <f>VLOOKUP(K$6,'Weighting and Rates PFF'!$G$40:$H$42,2,0)*K26</f>
        <v>721181.70749999897</v>
      </c>
      <c r="L27" s="3354">
        <f>VLOOKUP(L$6,'Weighting and Rates PFF'!$G$40:$H$42,2,0)*L26</f>
        <v>149684.78666666691</v>
      </c>
      <c r="M27" s="3355">
        <f>VLOOKUP(M$6,'Weighting and Rates PFF'!$G$40:$H$42,2,0)*M26</f>
        <v>0</v>
      </c>
      <c r="N27" s="3370"/>
      <c r="O27" s="3354"/>
      <c r="P27" s="3354"/>
      <c r="Q27" s="3354"/>
      <c r="R27" s="3355"/>
      <c r="S27" s="3353"/>
      <c r="T27" s="3354"/>
      <c r="U27" s="3355"/>
      <c r="V27" s="3370"/>
      <c r="W27" s="3357">
        <f>IF(W26&gt;0,W26*'Weighting and Rates PFF'!$H$55,0)</f>
        <v>2070548.1741666663</v>
      </c>
      <c r="X27" s="3358">
        <f>'Weighting and Rates PFF'!K63</f>
        <v>337888.66349999997</v>
      </c>
      <c r="Y27" s="3359">
        <f>SUM(C27:X27)</f>
        <v>7839612.1818333315</v>
      </c>
      <c r="AA27" s="3500" t="str">
        <f>B25</f>
        <v>IUPUI</v>
      </c>
      <c r="AB27" s="3789">
        <f>(C27+D27+E27+F27+G27)/$Y27</f>
        <v>0.40269530262168224</v>
      </c>
      <c r="AC27" s="3783">
        <f>(H27+I27+J27)/$Y27</f>
        <v>0.17900551933575665</v>
      </c>
      <c r="AD27" s="3783">
        <f>(K27+L27+M27)/$Y27</f>
        <v>0.11108540498785356</v>
      </c>
      <c r="AE27" s="3783">
        <f>SUM(N27:R27)/$Y27</f>
        <v>0</v>
      </c>
      <c r="AF27" s="3783">
        <f>SUM(S27:U27)/$Y27</f>
        <v>0</v>
      </c>
      <c r="AG27" s="3784">
        <f>SUM(V27:W27)/$Y27</f>
        <v>0.26411359722164962</v>
      </c>
      <c r="AH27" s="3785">
        <f>X27/$Y27</f>
        <v>4.3100175833057988E-2</v>
      </c>
    </row>
    <row r="28" spans="2:34">
      <c r="B28" s="3261" t="s">
        <v>269</v>
      </c>
      <c r="C28" s="3371"/>
      <c r="D28" s="3372"/>
      <c r="E28" s="3373"/>
      <c r="F28" s="3373"/>
      <c r="G28" s="3374"/>
      <c r="H28" s="3340"/>
      <c r="I28" s="3342"/>
      <c r="J28" s="3344"/>
      <c r="K28" s="3340"/>
      <c r="L28" s="3342"/>
      <c r="M28" s="3344"/>
      <c r="N28" s="3340"/>
      <c r="O28" s="3342"/>
      <c r="P28" s="3342"/>
      <c r="Q28" s="3342"/>
      <c r="R28" s="3344"/>
      <c r="S28" s="3340"/>
      <c r="T28" s="3342"/>
      <c r="U28" s="3344"/>
      <c r="V28" s="3360"/>
      <c r="W28" s="3361"/>
      <c r="X28" s="3345"/>
      <c r="Y28" s="3338"/>
      <c r="AA28" s="3786"/>
      <c r="AB28" s="3481"/>
      <c r="AC28" s="3787"/>
      <c r="AD28" s="3787"/>
      <c r="AE28" s="3787"/>
      <c r="AF28" s="3787"/>
      <c r="AG28" s="3787"/>
      <c r="AH28" s="3788"/>
    </row>
    <row r="29" spans="2:34" s="3295" customFormat="1">
      <c r="B29" s="3375" t="s">
        <v>280</v>
      </c>
      <c r="C29" s="3371"/>
      <c r="D29" s="3372"/>
      <c r="E29" s="3373">
        <f>E8+E11+E14+E17+E20+E23+E26</f>
        <v>661.99999999999955</v>
      </c>
      <c r="F29" s="3373">
        <f t="shared" ref="E29:G30" si="0">F8+F11+F14+F17+F20+F23+F26</f>
        <v>170.33333333333331</v>
      </c>
      <c r="G29" s="3374">
        <f t="shared" si="0"/>
        <v>0</v>
      </c>
      <c r="H29" s="3371"/>
      <c r="I29" s="3373"/>
      <c r="J29" s="3376">
        <f t="shared" ref="J29:M30" si="1">J8+J11+J14+J17+J20+J23+J26</f>
        <v>622.33333333333337</v>
      </c>
      <c r="K29" s="3371">
        <f t="shared" si="1"/>
        <v>111.99999999999989</v>
      </c>
      <c r="L29" s="3373">
        <f t="shared" si="1"/>
        <v>25.000000000000021</v>
      </c>
      <c r="M29" s="3376">
        <f t="shared" si="1"/>
        <v>8.6666666666666661</v>
      </c>
      <c r="N29" s="3371"/>
      <c r="O29" s="3373"/>
      <c r="P29" s="3373">
        <f>P8+P11+P14+P17+P20+P23+P26</f>
        <v>551.66666666666674</v>
      </c>
      <c r="Q29" s="3373"/>
      <c r="R29" s="3376">
        <f t="shared" ref="R29:R30" si="2">R8+R11+R14+R17+R20+R23+R26</f>
        <v>476</v>
      </c>
      <c r="S29" s="3371"/>
      <c r="T29" s="3373"/>
      <c r="U29" s="3376"/>
      <c r="V29" s="3360"/>
      <c r="W29" s="3376">
        <f t="shared" ref="W29" si="3">W8+W11+W14+W17+W20+W23+W26</f>
        <v>277.33333333333337</v>
      </c>
      <c r="X29" s="3345"/>
      <c r="Y29" s="3346">
        <f>Y30/$Y$69</f>
        <v>0.30714149083622005</v>
      </c>
      <c r="AA29" s="3396"/>
      <c r="AB29" s="3491"/>
      <c r="AC29" s="3780"/>
      <c r="AD29" s="3780"/>
      <c r="AE29" s="3780"/>
      <c r="AF29" s="3780"/>
      <c r="AG29" s="3780"/>
      <c r="AH29" s="3781"/>
    </row>
    <row r="30" spans="2:34" s="3287" customFormat="1" ht="14.4" thickBot="1">
      <c r="B30" s="3377" t="s">
        <v>281</v>
      </c>
      <c r="C30" s="3378"/>
      <c r="D30" s="3379"/>
      <c r="E30" s="3380">
        <f t="shared" si="0"/>
        <v>5160289.9999999963</v>
      </c>
      <c r="F30" s="3380">
        <f t="shared" si="0"/>
        <v>663874.16666666663</v>
      </c>
      <c r="G30" s="3381">
        <f t="shared" si="0"/>
        <v>0</v>
      </c>
      <c r="H30" s="3378"/>
      <c r="I30" s="3380"/>
      <c r="J30" s="3382">
        <f t="shared" si="1"/>
        <v>3424868.3633333333</v>
      </c>
      <c r="K30" s="3378">
        <f t="shared" si="1"/>
        <v>2183036.5199999982</v>
      </c>
      <c r="L30" s="3380">
        <f t="shared" si="1"/>
        <v>350823.71875000023</v>
      </c>
      <c r="M30" s="3382">
        <f t="shared" si="1"/>
        <v>59120.527916666666</v>
      </c>
      <c r="N30" s="3383"/>
      <c r="O30" s="3380"/>
      <c r="P30" s="3380">
        <f>P9+P12+P15+P18+P21+P24+P27</f>
        <v>422025.00000000006</v>
      </c>
      <c r="Q30" s="3380"/>
      <c r="R30" s="3382">
        <f t="shared" si="2"/>
        <v>728280.00000000012</v>
      </c>
      <c r="S30" s="3378"/>
      <c r="T30" s="3380"/>
      <c r="U30" s="3382"/>
      <c r="V30" s="3383"/>
      <c r="W30" s="3384">
        <f>W9+W12+W15+W18+W21+W24+W27</f>
        <v>6356812.1066666683</v>
      </c>
      <c r="X30" s="3385">
        <f t="shared" ref="X30" si="4">X9+X12+X15+X18+X21+X24+X27</f>
        <v>1097935.6038149998</v>
      </c>
      <c r="Y30" s="3359">
        <f>SUM(C30:X30)</f>
        <v>20447066.007148329</v>
      </c>
      <c r="AA30" s="3796"/>
      <c r="AB30" s="3782">
        <f>(C30+D30+E30+F30+G30)/$Y30</f>
        <v>0.28484107033402861</v>
      </c>
      <c r="AC30" s="3783">
        <f>(H30+I30+J30)/$Y30</f>
        <v>0.16749925696606024</v>
      </c>
      <c r="AD30" s="3783">
        <f>(K30+L30+M30)/$Y30</f>
        <v>0.12681431975424517</v>
      </c>
      <c r="AE30" s="3783">
        <f>SUM(N30:R30)/$Y30</f>
        <v>5.625770463096523E-2</v>
      </c>
      <c r="AF30" s="3783">
        <f>SUM(S30:U30)/$Y30</f>
        <v>0</v>
      </c>
      <c r="AG30" s="3783">
        <f>SUM(V30:W30)/$Y30</f>
        <v>0.31089116181482057</v>
      </c>
      <c r="AH30" s="3785">
        <f>X30/$Y30</f>
        <v>5.3696486499880208E-2</v>
      </c>
    </row>
    <row r="31" spans="2:34">
      <c r="B31" s="3386"/>
      <c r="C31" s="3387"/>
      <c r="D31" s="3388"/>
      <c r="E31" s="3389"/>
      <c r="F31" s="3389"/>
      <c r="G31" s="3390"/>
      <c r="H31" s="3387"/>
      <c r="I31" s="3389"/>
      <c r="J31" s="3391"/>
      <c r="K31" s="3387"/>
      <c r="L31" s="3389"/>
      <c r="M31" s="3391"/>
      <c r="N31" s="3387"/>
      <c r="O31" s="3389"/>
      <c r="P31" s="3389"/>
      <c r="Q31" s="3389"/>
      <c r="R31" s="3391"/>
      <c r="S31" s="3387"/>
      <c r="T31" s="3389"/>
      <c r="U31" s="3391"/>
      <c r="V31" s="3392"/>
      <c r="W31" s="3393"/>
      <c r="X31" s="3394"/>
      <c r="Y31" s="3395"/>
      <c r="AA31" s="3797"/>
      <c r="AB31" s="3798"/>
      <c r="AC31" s="3799"/>
      <c r="AD31" s="3799"/>
      <c r="AE31" s="3799"/>
      <c r="AF31" s="3799"/>
      <c r="AG31" s="3799"/>
      <c r="AH31" s="3800"/>
    </row>
    <row r="32" spans="2:34">
      <c r="B32" s="3261" t="s">
        <v>270</v>
      </c>
      <c r="C32" s="3340"/>
      <c r="D32" s="3341"/>
      <c r="E32" s="3342"/>
      <c r="F32" s="3342"/>
      <c r="G32" s="3343"/>
      <c r="H32" s="3340"/>
      <c r="I32" s="3342"/>
      <c r="J32" s="3344"/>
      <c r="K32" s="3340"/>
      <c r="L32" s="3342"/>
      <c r="M32" s="3344"/>
      <c r="N32" s="3340"/>
      <c r="O32" s="3342"/>
      <c r="P32" s="3342"/>
      <c r="Q32" s="3342"/>
      <c r="R32" s="3344"/>
      <c r="S32" s="3340"/>
      <c r="T32" s="3342"/>
      <c r="U32" s="3344"/>
      <c r="V32" s="3360"/>
      <c r="W32" s="3361"/>
      <c r="X32" s="3345"/>
      <c r="Y32" s="3338"/>
      <c r="AA32" s="3432"/>
      <c r="AB32" s="3491"/>
      <c r="AC32" s="3780"/>
      <c r="AD32" s="3780"/>
      <c r="AE32" s="3780"/>
      <c r="AF32" s="3780"/>
      <c r="AG32" s="3780"/>
      <c r="AH32" s="3781"/>
    </row>
    <row r="33" spans="2:34" s="3295" customFormat="1">
      <c r="B33" s="3339" t="s">
        <v>280</v>
      </c>
      <c r="C33" s="3340"/>
      <c r="D33" s="3341"/>
      <c r="E33" s="3342">
        <f>IF('Overall Degree Completion PMS I'!$R107&gt;0,'Overall Degree Completion PMS I'!$R107,0)</f>
        <v>486.66666666666697</v>
      </c>
      <c r="F33" s="3342">
        <f>IF('Overall Degree Completion PMS I'!$R109&gt;0,'Overall Degree Completion PMS I'!$R109,0)</f>
        <v>1</v>
      </c>
      <c r="G33" s="3343">
        <f>IF('Overall Degree Completion PMS I'!$R111&gt;0,'Overall Degree Completion PMS I'!$R111,0)</f>
        <v>0</v>
      </c>
      <c r="H33" s="3340"/>
      <c r="I33" s="3342"/>
      <c r="J33" s="3344">
        <f>IF('At-Risk Student Degree PMS II'!$R75&gt;0,'At-Risk Student Degree PMS II'!$R75,0)</f>
        <v>257.33333333333337</v>
      </c>
      <c r="K33" s="3340">
        <f>IF('High Impact Degree PMS III'!$R31&gt;0,'High Impact Degree PMS III'!$R31,0)</f>
        <v>171</v>
      </c>
      <c r="L33" s="3342">
        <f>IF('High Impact Degree PMS III'!$R33&gt;0,'High Impact Degree PMS III'!$R33,0)</f>
        <v>11.666666666666657</v>
      </c>
      <c r="M33" s="3344">
        <f>IF('High Impact Degree PMS III'!$R35&gt;0,'High Impact Degree PMS III'!$R35,0)</f>
        <v>0</v>
      </c>
      <c r="N33" s="3340"/>
      <c r="O33" s="3342"/>
      <c r="P33" s="3342"/>
      <c r="Q33" s="3342"/>
      <c r="R33" s="3344"/>
      <c r="S33" s="3340"/>
      <c r="T33" s="3342"/>
      <c r="U33" s="3344"/>
      <c r="V33" s="3363"/>
      <c r="W33" s="3344">
        <f>IF('On-time Graduation Rate PMS VI'!$R102&gt;0,'On-time Graduation Rate PMS VI'!$R102,0)</f>
        <v>274.66666666666652</v>
      </c>
      <c r="X33" s="3345" t="str">
        <f>'Institutional Eff PMS VII'!X25</f>
        <v>SIG/SIG</v>
      </c>
      <c r="Y33" s="3346">
        <f>Y34/$Y$69</f>
        <v>0.24174446634980684</v>
      </c>
      <c r="AA33" s="3396"/>
      <c r="AB33" s="3491"/>
      <c r="AC33" s="3780"/>
      <c r="AD33" s="3780"/>
      <c r="AE33" s="3780"/>
      <c r="AF33" s="3780"/>
      <c r="AG33" s="3780"/>
      <c r="AH33" s="3781"/>
    </row>
    <row r="34" spans="2:34" s="3366" customFormat="1" ht="14.4" thickBot="1">
      <c r="B34" s="3367" t="s">
        <v>281</v>
      </c>
      <c r="C34" s="3353"/>
      <c r="D34" s="3368"/>
      <c r="E34" s="3354">
        <f>VLOOKUP(E$6,'Weighting and Rates PFF'!$G$30:$H$34,2,0)*E33</f>
        <v>3793566.6666666688</v>
      </c>
      <c r="F34" s="3354">
        <f>VLOOKUP(F$6,'Weighting and Rates PFF'!$G$30:$H$34,2,0)*F33</f>
        <v>3897.5</v>
      </c>
      <c r="G34" s="3369">
        <f>VLOOKUP(G$6,'Weighting and Rates PFF'!$G$30:$H$34,2,0)*G33</f>
        <v>0</v>
      </c>
      <c r="H34" s="3353"/>
      <c r="I34" s="3354"/>
      <c r="J34" s="3355">
        <f>VLOOKUP(J$6,'Weighting and Rates PFF'!$G$36:$H$38,2,0)*J33</f>
        <v>1416174.8133333335</v>
      </c>
      <c r="K34" s="3353">
        <f>VLOOKUP(K$6,'Weighting and Rates PFF'!$G$40:$H$42,2,0)*K33</f>
        <v>3333028.9725000006</v>
      </c>
      <c r="L34" s="3354">
        <f>VLOOKUP(L$6,'Weighting and Rates PFF'!$G$40:$H$42,2,0)*L33</f>
        <v>163717.73541666652</v>
      </c>
      <c r="M34" s="3355">
        <f>VLOOKUP(M$6,'Weighting and Rates PFF'!$G$40:$H$42,2,0)*M33</f>
        <v>0</v>
      </c>
      <c r="N34" s="3370"/>
      <c r="O34" s="3354"/>
      <c r="P34" s="3354"/>
      <c r="Q34" s="3354"/>
      <c r="R34" s="3355"/>
      <c r="S34" s="3353"/>
      <c r="T34" s="3354"/>
      <c r="U34" s="3355"/>
      <c r="V34" s="3370"/>
      <c r="W34" s="3357">
        <f>IF(W33&gt;0,W33*'Weighting and Rates PFF'!$H$55,0)</f>
        <v>6295688.9133333303</v>
      </c>
      <c r="X34" s="3358">
        <f>'Weighting and Rates PFF'!K64</f>
        <v>1087371.6044699999</v>
      </c>
      <c r="Y34" s="3359">
        <f>SUM(C34:X34)</f>
        <v>16093446.205719998</v>
      </c>
      <c r="AA34" s="3500" t="str">
        <f>B32</f>
        <v>PUWL</v>
      </c>
      <c r="AB34" s="3789">
        <f>(C34+D34+E34+F34+G34)/$Y34</f>
        <v>0.23596339268322522</v>
      </c>
      <c r="AC34" s="3783">
        <f>(H34+I34+J34)/$Y34</f>
        <v>8.79969892856131E-2</v>
      </c>
      <c r="AD34" s="3783">
        <f>(K34+L34+M34)/$Y34</f>
        <v>0.21727768330153174</v>
      </c>
      <c r="AE34" s="3783">
        <f>SUM(N34:R34)/$Y34</f>
        <v>0</v>
      </c>
      <c r="AF34" s="3783">
        <f>SUM(S34:U34)/$Y34</f>
        <v>0</v>
      </c>
      <c r="AG34" s="3784">
        <f>SUM(V34:W34)/$Y34</f>
        <v>0.39119582175604445</v>
      </c>
      <c r="AH34" s="3785">
        <f>X34/$Y34</f>
        <v>6.7566112973585599E-2</v>
      </c>
    </row>
    <row r="35" spans="2:34">
      <c r="B35" s="3261" t="s">
        <v>271</v>
      </c>
      <c r="C35" s="3340"/>
      <c r="D35" s="3341"/>
      <c r="E35" s="3342"/>
      <c r="F35" s="3342"/>
      <c r="G35" s="3343"/>
      <c r="H35" s="3340"/>
      <c r="I35" s="3342"/>
      <c r="J35" s="3344"/>
      <c r="K35" s="3340"/>
      <c r="L35" s="3342"/>
      <c r="M35" s="3344"/>
      <c r="N35" s="3340"/>
      <c r="O35" s="3342"/>
      <c r="P35" s="3342"/>
      <c r="Q35" s="3342"/>
      <c r="R35" s="3344"/>
      <c r="S35" s="3340"/>
      <c r="T35" s="3342"/>
      <c r="U35" s="3344"/>
      <c r="V35" s="3363"/>
      <c r="W35" s="3361"/>
      <c r="X35" s="3345"/>
      <c r="Y35" s="3338"/>
      <c r="AA35" s="3786"/>
      <c r="AB35" s="3481"/>
      <c r="AC35" s="3787"/>
      <c r="AD35" s="3787"/>
      <c r="AE35" s="3787"/>
      <c r="AF35" s="3787"/>
      <c r="AG35" s="3787"/>
      <c r="AH35" s="3788"/>
    </row>
    <row r="36" spans="2:34" s="3295" customFormat="1">
      <c r="B36" s="3339" t="s">
        <v>280</v>
      </c>
      <c r="C36" s="3340"/>
      <c r="D36" s="3341"/>
      <c r="E36" s="3342">
        <f>IF('Overall Degree Completion PMS I'!$R119&gt;0,'Overall Degree Completion PMS I'!$R119,0)</f>
        <v>65.666666666666629</v>
      </c>
      <c r="F36" s="3342">
        <f>IF('Overall Degree Completion PMS I'!$R121&gt;0,'Overall Degree Completion PMS I'!$R121,0)</f>
        <v>4</v>
      </c>
      <c r="G36" s="3343">
        <f>IF('Overall Degree Completion PMS I'!$R123&gt;0,'Overall Degree Completion PMS I'!$R123,0)</f>
        <v>0</v>
      </c>
      <c r="H36" s="3340"/>
      <c r="I36" s="3342"/>
      <c r="J36" s="3344">
        <f>IF('At-Risk Student Degree PMS II'!$R83&gt;0,'At-Risk Student Degree PMS II'!$R83,0)</f>
        <v>84.000000000000028</v>
      </c>
      <c r="K36" s="3340"/>
      <c r="L36" s="3342"/>
      <c r="M36" s="3344"/>
      <c r="N36" s="3362"/>
      <c r="O36" s="3342"/>
      <c r="P36" s="3342">
        <f>IF('Student Persistence PMS IV'!$R79&gt;0,'Student Persistence PMS IV'!$R79,0)</f>
        <v>67</v>
      </c>
      <c r="Q36" s="3342"/>
      <c r="R36" s="3344">
        <f>IF('Student Persistence PMS IV'!$R80&gt;0,'Student Persistence PMS IV'!$R80,0)</f>
        <v>84</v>
      </c>
      <c r="S36" s="3340"/>
      <c r="T36" s="3342"/>
      <c r="U36" s="3344"/>
      <c r="V36" s="3363"/>
      <c r="W36" s="3344">
        <f>IF('On-time Graduation Rate PMS VI'!$R113&gt;0,'On-time Graduation Rate PMS VI'!$R113,0)</f>
        <v>15.666666666666664</v>
      </c>
      <c r="X36" s="3345" t="str">
        <f>'Institutional Eff PMS VII'!X35</f>
        <v>MOD/MOD</v>
      </c>
      <c r="Y36" s="3346">
        <f>Y37/$Y$69</f>
        <v>2.386901257403827E-2</v>
      </c>
      <c r="AA36" s="3396"/>
      <c r="AB36" s="3491"/>
      <c r="AC36" s="3780"/>
      <c r="AD36" s="3780"/>
      <c r="AE36" s="3780"/>
      <c r="AF36" s="3780"/>
      <c r="AG36" s="3780"/>
      <c r="AH36" s="3781"/>
    </row>
    <row r="37" spans="2:34" s="3366" customFormat="1" ht="14.4" thickBot="1">
      <c r="B37" s="3367" t="s">
        <v>281</v>
      </c>
      <c r="C37" s="3353"/>
      <c r="D37" s="3368"/>
      <c r="E37" s="3354">
        <f>VLOOKUP(E$6,'Weighting and Rates PFF'!$G$30:$H$34,2,0)*E36</f>
        <v>511871.6666666664</v>
      </c>
      <c r="F37" s="3354">
        <f>VLOOKUP(F$6,'Weighting and Rates PFF'!$G$30:$H$34,2,0)*F36</f>
        <v>15590</v>
      </c>
      <c r="G37" s="3369">
        <f>VLOOKUP(G$6,'Weighting and Rates PFF'!$G$30:$H$34,2,0)*G36</f>
        <v>0</v>
      </c>
      <c r="H37" s="3353"/>
      <c r="I37" s="3354"/>
      <c r="J37" s="3355">
        <f>VLOOKUP(J$6,'Weighting and Rates PFF'!$G$36:$H$38,2,0)*J36</f>
        <v>462274.68000000011</v>
      </c>
      <c r="K37" s="3353"/>
      <c r="L37" s="3354"/>
      <c r="M37" s="3355"/>
      <c r="N37" s="3370"/>
      <c r="O37" s="3354"/>
      <c r="P37" s="3354">
        <f>VLOOKUP(P$6,'Weighting and Rates PFF'!$G$44:$H$48,2,0)*'Summary of PFF Metrics 2015'!P36</f>
        <v>51255</v>
      </c>
      <c r="Q37" s="3354"/>
      <c r="R37" s="3355">
        <f>VLOOKUP(R$6,'Weighting and Rates PFF'!$G$44:$H$48,2,0)*'Summary of PFF Metrics 2015'!R36</f>
        <v>128520</v>
      </c>
      <c r="S37" s="3353"/>
      <c r="T37" s="3354"/>
      <c r="U37" s="3355"/>
      <c r="V37" s="3370"/>
      <c r="W37" s="3357">
        <f>IF(W36&gt;0,W36*'Weighting and Rates PFF'!$H$55,0)</f>
        <v>359098.7608333333</v>
      </c>
      <c r="X37" s="3358">
        <f>'Weighting and Rates PFF'!K65</f>
        <v>60401.114324999995</v>
      </c>
      <c r="Y37" s="3359">
        <f>SUM(C37:X37)</f>
        <v>1589011.2218249997</v>
      </c>
      <c r="AA37" s="3500" t="str">
        <f>B35</f>
        <v>PUC</v>
      </c>
      <c r="AB37" s="3789">
        <f>(C37+D37+E37+F37+G37)/$Y37</f>
        <v>0.33194332388720954</v>
      </c>
      <c r="AC37" s="3783">
        <f>(H37+I37+J37)/$Y37</f>
        <v>0.290919707583356</v>
      </c>
      <c r="AD37" s="3783">
        <f>(K37+L37+M37)/$Y37</f>
        <v>0</v>
      </c>
      <c r="AE37" s="3783">
        <f>SUM(N37:R37)/$Y37</f>
        <v>0.11313639421219827</v>
      </c>
      <c r="AF37" s="3783">
        <f>SUM(S37:U37)/$Y37</f>
        <v>0</v>
      </c>
      <c r="AG37" s="3783">
        <f>SUM(V37:W37)/$Y37</f>
        <v>0.22598881361007872</v>
      </c>
      <c r="AH37" s="3790">
        <f>X37/$Y37</f>
        <v>3.8011760707157588E-2</v>
      </c>
    </row>
    <row r="38" spans="2:34">
      <c r="B38" s="3261" t="s">
        <v>272</v>
      </c>
      <c r="C38" s="3340"/>
      <c r="D38" s="3341"/>
      <c r="E38" s="3342"/>
      <c r="F38" s="3342"/>
      <c r="G38" s="3343"/>
      <c r="H38" s="3340"/>
      <c r="I38" s="3342"/>
      <c r="J38" s="3344"/>
      <c r="K38" s="3340"/>
      <c r="L38" s="3342"/>
      <c r="M38" s="3344"/>
      <c r="N38" s="3340"/>
      <c r="O38" s="3342"/>
      <c r="P38" s="3342"/>
      <c r="Q38" s="3342"/>
      <c r="R38" s="3344"/>
      <c r="S38" s="3340"/>
      <c r="T38" s="3342"/>
      <c r="U38" s="3344"/>
      <c r="V38" s="3363"/>
      <c r="W38" s="3361"/>
      <c r="X38" s="3345"/>
      <c r="Y38" s="3338"/>
      <c r="AA38" s="3786"/>
      <c r="AB38" s="3481"/>
      <c r="AC38" s="3787"/>
      <c r="AD38" s="3787"/>
      <c r="AE38" s="3787"/>
      <c r="AF38" s="3787"/>
      <c r="AG38" s="3787"/>
      <c r="AH38" s="3788"/>
    </row>
    <row r="39" spans="2:34" s="3295" customFormat="1">
      <c r="B39" s="3339" t="s">
        <v>280</v>
      </c>
      <c r="C39" s="3340"/>
      <c r="D39" s="3341"/>
      <c r="E39" s="3342">
        <f>IF('Overall Degree Completion PMS I'!$R131&gt;0,'Overall Degree Completion PMS I'!$R131,0)</f>
        <v>81</v>
      </c>
      <c r="F39" s="3342">
        <f>IF('Overall Degree Completion PMS I'!$R133&gt;0,'Overall Degree Completion PMS I'!$R133,0)</f>
        <v>26.333333333333343</v>
      </c>
      <c r="G39" s="3343">
        <f>IF('Overall Degree Completion PMS I'!$R135&gt;0,'Overall Degree Completion PMS I'!$R135,0)</f>
        <v>0</v>
      </c>
      <c r="H39" s="3340"/>
      <c r="I39" s="3342"/>
      <c r="J39" s="3344">
        <f>IF('At-Risk Student Degree PMS II'!$R91&gt;0,'At-Risk Student Degree PMS II'!$R91,0)</f>
        <v>98.666666666666657</v>
      </c>
      <c r="K39" s="3340"/>
      <c r="L39" s="3342"/>
      <c r="M39" s="3344"/>
      <c r="N39" s="3362"/>
      <c r="O39" s="3342"/>
      <c r="P39" s="3342">
        <f>IF('Student Persistence PMS IV'!$R90&gt;0,'Student Persistence PMS IV'!$R90,0)</f>
        <v>35.666666666666515</v>
      </c>
      <c r="Q39" s="3342"/>
      <c r="R39" s="3344">
        <f>IF('Student Persistence PMS IV'!$R91&gt;0,'Student Persistence PMS IV'!$R91,0)</f>
        <v>0</v>
      </c>
      <c r="S39" s="3340"/>
      <c r="T39" s="3342"/>
      <c r="U39" s="3344"/>
      <c r="V39" s="3363"/>
      <c r="W39" s="3344">
        <f>IF('On-time Graduation Rate PMS VI'!$R124&gt;0,'On-time Graduation Rate PMS VI'!$R124,0)</f>
        <v>0</v>
      </c>
      <c r="X39" s="3345" t="str">
        <f>'Institutional Eff PMS VII'!X45</f>
        <v>MOD/NO</v>
      </c>
      <c r="Y39" s="3346">
        <f>Y40/$Y$69</f>
        <v>1.9592332374845735E-2</v>
      </c>
      <c r="AA39" s="3396"/>
      <c r="AB39" s="3491"/>
      <c r="AC39" s="3780"/>
      <c r="AD39" s="3780"/>
      <c r="AE39" s="3780"/>
      <c r="AF39" s="3780"/>
      <c r="AG39" s="3780"/>
      <c r="AH39" s="3781"/>
    </row>
    <row r="40" spans="2:34" s="3366" customFormat="1" ht="14.4" thickBot="1">
      <c r="B40" s="3367" t="s">
        <v>281</v>
      </c>
      <c r="C40" s="3353"/>
      <c r="D40" s="3368"/>
      <c r="E40" s="3354">
        <f>VLOOKUP(E$6,'Weighting and Rates PFF'!$G$30:$H$34,2,0)*E39</f>
        <v>631395</v>
      </c>
      <c r="F40" s="3354">
        <f>VLOOKUP(F$6,'Weighting and Rates PFF'!$G$30:$H$34,2,0)*F39</f>
        <v>102634.1666666667</v>
      </c>
      <c r="G40" s="3369">
        <f>VLOOKUP(G$6,'Weighting and Rates PFF'!$G$30:$H$34,2,0)*G39</f>
        <v>0</v>
      </c>
      <c r="H40" s="3353"/>
      <c r="I40" s="3354"/>
      <c r="J40" s="3355">
        <f>VLOOKUP(J$6,'Weighting and Rates PFF'!$G$36:$H$38,2,0)*J39</f>
        <v>542989.30666666653</v>
      </c>
      <c r="K40" s="3353"/>
      <c r="L40" s="3354"/>
      <c r="M40" s="3355"/>
      <c r="N40" s="3370"/>
      <c r="O40" s="3354"/>
      <c r="P40" s="3354">
        <f>VLOOKUP(P$6,'Weighting and Rates PFF'!$G$44:$H$48,2,0)*'Summary of PFF Metrics 2015'!P39</f>
        <v>27284.999999999884</v>
      </c>
      <c r="Q40" s="3354"/>
      <c r="R40" s="3355">
        <f>VLOOKUP(R$6,'Weighting and Rates PFF'!$G$44:$H$48,2,0)*'Summary of PFF Metrics 2015'!R39</f>
        <v>0</v>
      </c>
      <c r="S40" s="3353"/>
      <c r="T40" s="3354"/>
      <c r="U40" s="3355"/>
      <c r="V40" s="3370"/>
      <c r="W40" s="3357">
        <f>IF(W39&gt;0,W39*'Weighting and Rates PFF'!$H$55,0)</f>
        <v>0</v>
      </c>
      <c r="X40" s="3358">
        <f>'Weighting and Rates PFF'!K66</f>
        <v>0</v>
      </c>
      <c r="Y40" s="3359">
        <f>SUM(C40:X40)</f>
        <v>1304303.4733333332</v>
      </c>
      <c r="AA40" s="3500" t="str">
        <f>B38</f>
        <v>IPFW</v>
      </c>
      <c r="AB40" s="3789">
        <f>(C40+D40+E40+F40+G40)/$Y40</f>
        <v>0.5627748309147339</v>
      </c>
      <c r="AC40" s="3783">
        <f>(H40+I40+J40)/$Y40</f>
        <v>0.41630595775305274</v>
      </c>
      <c r="AD40" s="3783">
        <f>(K40+L40+M40)/$Y40</f>
        <v>0</v>
      </c>
      <c r="AE40" s="3783">
        <f>SUM(N40:R40)/$Y40</f>
        <v>2.091921133221334E-2</v>
      </c>
      <c r="AF40" s="3783">
        <f>SUM(S40:U40)/$Y40</f>
        <v>0</v>
      </c>
      <c r="AG40" s="3783">
        <f>SUM(V40:W40)/$Y40</f>
        <v>0</v>
      </c>
      <c r="AH40" s="3790">
        <f>X40/$Y40</f>
        <v>0</v>
      </c>
    </row>
    <row r="41" spans="2:34">
      <c r="B41" s="3261" t="s">
        <v>273</v>
      </c>
      <c r="C41" s="3340"/>
      <c r="D41" s="3341"/>
      <c r="E41" s="3342"/>
      <c r="F41" s="3342"/>
      <c r="G41" s="3343"/>
      <c r="H41" s="3340"/>
      <c r="I41" s="3342"/>
      <c r="J41" s="3344"/>
      <c r="K41" s="3340"/>
      <c r="L41" s="3342"/>
      <c r="M41" s="3344"/>
      <c r="N41" s="3340"/>
      <c r="O41" s="3342"/>
      <c r="P41" s="3342"/>
      <c r="Q41" s="3342"/>
      <c r="R41" s="3344"/>
      <c r="S41" s="3340"/>
      <c r="T41" s="3342"/>
      <c r="U41" s="3344"/>
      <c r="V41" s="3363"/>
      <c r="W41" s="3361"/>
      <c r="X41" s="3345"/>
      <c r="Y41" s="3338"/>
      <c r="AA41" s="3786"/>
      <c r="AB41" s="3481"/>
      <c r="AC41" s="3787"/>
      <c r="AD41" s="3787"/>
      <c r="AE41" s="3787"/>
      <c r="AF41" s="3787"/>
      <c r="AG41" s="3787"/>
      <c r="AH41" s="3788"/>
    </row>
    <row r="42" spans="2:34" s="3295" customFormat="1">
      <c r="B42" s="3339" t="s">
        <v>280</v>
      </c>
      <c r="C42" s="3340"/>
      <c r="D42" s="3341"/>
      <c r="E42" s="3342">
        <f>IF('Overall Degree Completion PMS I'!$R143&gt;0,'Overall Degree Completion PMS I'!$R143,0)</f>
        <v>16.666666666666686</v>
      </c>
      <c r="F42" s="3342">
        <f>IF('Overall Degree Completion PMS I'!$R145&gt;0,'Overall Degree Completion PMS I'!$R145,0)</f>
        <v>18.333333333333336</v>
      </c>
      <c r="G42" s="3343">
        <f>IF('Overall Degree Completion PMS I'!$R147&gt;0,'Overall Degree Completion PMS I'!$R147,0)</f>
        <v>0</v>
      </c>
      <c r="H42" s="3340"/>
      <c r="I42" s="3342"/>
      <c r="J42" s="3344">
        <f>IF('At-Risk Student Degree PMS II'!$R99&gt;0,'At-Risk Student Degree PMS II'!$R99,0)</f>
        <v>20.666666666666657</v>
      </c>
      <c r="K42" s="3340"/>
      <c r="L42" s="3342"/>
      <c r="M42" s="3344"/>
      <c r="N42" s="3362"/>
      <c r="O42" s="3342"/>
      <c r="P42" s="3342">
        <f>IF('Student Persistence PMS IV'!$R101&gt;0,'Student Persistence PMS IV'!$R101,0)</f>
        <v>57.666666666666629</v>
      </c>
      <c r="Q42" s="3342"/>
      <c r="R42" s="3344">
        <f>IF('Student Persistence PMS IV'!$R102&gt;0,'Student Persistence PMS IV'!$R102,0)</f>
        <v>0</v>
      </c>
      <c r="S42" s="3340"/>
      <c r="T42" s="3342"/>
      <c r="U42" s="3344"/>
      <c r="V42" s="3363"/>
      <c r="W42" s="3344">
        <f>IF('On-time Graduation Rate PMS VI'!$R135&gt;0,'On-time Graduation Rate PMS VI'!$R135,0)</f>
        <v>11.333333333333332</v>
      </c>
      <c r="X42" s="3345" t="str">
        <f>'Institutional Eff PMS VII'!X55</f>
        <v>MOD/SIG</v>
      </c>
      <c r="Y42" s="3346">
        <f>Y43/$Y$69</f>
        <v>1.0034522206153942E-2</v>
      </c>
      <c r="AA42" s="3396"/>
      <c r="AB42" s="3491"/>
      <c r="AC42" s="3780"/>
      <c r="AD42" s="3780"/>
      <c r="AE42" s="3780"/>
      <c r="AF42" s="3780"/>
      <c r="AG42" s="3780"/>
      <c r="AH42" s="3781"/>
    </row>
    <row r="43" spans="2:34" s="3366" customFormat="1" ht="14.4" thickBot="1">
      <c r="B43" s="3367" t="s">
        <v>281</v>
      </c>
      <c r="C43" s="3353"/>
      <c r="D43" s="3368"/>
      <c r="E43" s="3354">
        <f>VLOOKUP(E$6,'Weighting and Rates PFF'!$G$30:$H$34,2,0)*E42</f>
        <v>129916.66666666682</v>
      </c>
      <c r="F43" s="3354">
        <f>VLOOKUP(F$6,'Weighting and Rates PFF'!$G$30:$H$34,2,0)*F42</f>
        <v>71454.166666666672</v>
      </c>
      <c r="G43" s="3369">
        <f>VLOOKUP(G$6,'Weighting and Rates PFF'!$G$30:$H$34,2,0)*G42</f>
        <v>0</v>
      </c>
      <c r="H43" s="3353"/>
      <c r="I43" s="3354"/>
      <c r="J43" s="3355">
        <f>VLOOKUP(J$6,'Weighting and Rates PFF'!$G$36:$H$38,2,0)*J42</f>
        <v>113734.2466666666</v>
      </c>
      <c r="K43" s="3353"/>
      <c r="L43" s="3354"/>
      <c r="M43" s="3355"/>
      <c r="N43" s="3370"/>
      <c r="O43" s="3354"/>
      <c r="P43" s="3354">
        <f>VLOOKUP(P$6,'Weighting and Rates PFF'!$G$44:$H$48,2,0)*'Summary of PFF Metrics 2015'!P42</f>
        <v>44114.999999999971</v>
      </c>
      <c r="Q43" s="3354"/>
      <c r="R43" s="3355">
        <f>VLOOKUP(R$6,'Weighting and Rates PFF'!$G$44:$H$48,2,0)*'Summary of PFF Metrics 2015'!R42</f>
        <v>0</v>
      </c>
      <c r="S43" s="3353"/>
      <c r="T43" s="3354"/>
      <c r="U43" s="3355"/>
      <c r="V43" s="3370"/>
      <c r="W43" s="3357">
        <f>IF(W42&gt;0,W42*'Weighting and Rates PFF'!$H$55,0)</f>
        <v>259773.57166666666</v>
      </c>
      <c r="X43" s="3358">
        <f>'Weighting and Rates PFF'!K67</f>
        <v>49025.954999999994</v>
      </c>
      <c r="Y43" s="3359">
        <f>SUM(C43:X43)</f>
        <v>668019.60666666669</v>
      </c>
      <c r="AA43" s="3500" t="str">
        <f>B41</f>
        <v>PUNC</v>
      </c>
      <c r="AB43" s="3782">
        <f>(C43+D43+E43+F43+G43)/$Y43</f>
        <v>0.30144449552633412</v>
      </c>
      <c r="AC43" s="3783">
        <f>(H43+I43+J43)/$Y43</f>
        <v>0.17025585107327329</v>
      </c>
      <c r="AD43" s="3783">
        <f>(K43+L43+M43)/$Y43</f>
        <v>0</v>
      </c>
      <c r="AE43" s="3783">
        <f>SUM(N43:R43)/$Y43</f>
        <v>6.603848084658509E-2</v>
      </c>
      <c r="AF43" s="3783">
        <f>SUM(S43:U43)/$Y43</f>
        <v>0</v>
      </c>
      <c r="AG43" s="3784">
        <f>SUM(V43:W43)/$Y43</f>
        <v>0.3888711784417585</v>
      </c>
      <c r="AH43" s="3790">
        <f>X43/$Y43</f>
        <v>7.3389994112049051E-2</v>
      </c>
    </row>
    <row r="44" spans="2:34" s="3261" customFormat="1">
      <c r="B44" s="3261" t="s">
        <v>274</v>
      </c>
      <c r="C44" s="3371"/>
      <c r="D44" s="3372"/>
      <c r="E44" s="3373"/>
      <c r="F44" s="3373"/>
      <c r="G44" s="3374"/>
      <c r="H44" s="3371"/>
      <c r="I44" s="3373"/>
      <c r="J44" s="3376"/>
      <c r="K44" s="3371"/>
      <c r="L44" s="3373"/>
      <c r="M44" s="3376"/>
      <c r="N44" s="3371"/>
      <c r="O44" s="3373"/>
      <c r="P44" s="3373"/>
      <c r="Q44" s="3373"/>
      <c r="R44" s="3376"/>
      <c r="S44" s="3371"/>
      <c r="T44" s="3373"/>
      <c r="U44" s="3376"/>
      <c r="V44" s="3396"/>
      <c r="W44" s="3397"/>
      <c r="X44" s="3398"/>
      <c r="Y44" s="3338"/>
      <c r="AA44" s="3797"/>
      <c r="AB44" s="3798"/>
      <c r="AC44" s="3799"/>
      <c r="AD44" s="3799"/>
      <c r="AE44" s="3799"/>
      <c r="AF44" s="3799"/>
      <c r="AG44" s="3799"/>
      <c r="AH44" s="3800"/>
    </row>
    <row r="45" spans="2:34" s="3399" customFormat="1">
      <c r="B45" s="3375" t="s">
        <v>280</v>
      </c>
      <c r="C45" s="3371"/>
      <c r="D45" s="3372"/>
      <c r="E45" s="3373">
        <f t="shared" ref="E45:G46" si="5">E33+E36+E39+E42</f>
        <v>650.00000000000023</v>
      </c>
      <c r="F45" s="3373">
        <f t="shared" si="5"/>
        <v>49.666666666666679</v>
      </c>
      <c r="G45" s="3374">
        <f t="shared" si="5"/>
        <v>0</v>
      </c>
      <c r="H45" s="3371"/>
      <c r="I45" s="3373"/>
      <c r="J45" s="3376">
        <f t="shared" ref="J45:M46" si="6">J33+J36+J39+J42</f>
        <v>460.66666666666663</v>
      </c>
      <c r="K45" s="3371">
        <f t="shared" si="6"/>
        <v>171</v>
      </c>
      <c r="L45" s="3373">
        <f t="shared" si="6"/>
        <v>11.666666666666657</v>
      </c>
      <c r="M45" s="3376">
        <f t="shared" si="6"/>
        <v>0</v>
      </c>
      <c r="N45" s="3371"/>
      <c r="O45" s="3373"/>
      <c r="P45" s="3373">
        <f>P33+P36+P39+P42</f>
        <v>160.33333333333314</v>
      </c>
      <c r="Q45" s="3373"/>
      <c r="R45" s="3376">
        <f>R33+R36+R39+R42</f>
        <v>84</v>
      </c>
      <c r="S45" s="3371"/>
      <c r="T45" s="3373"/>
      <c r="U45" s="3376"/>
      <c r="V45" s="3396"/>
      <c r="W45" s="3376">
        <f>W33+W36+W39+W42</f>
        <v>301.66666666666652</v>
      </c>
      <c r="X45" s="3398"/>
      <c r="Y45" s="3346">
        <f>Y46/$Y$69</f>
        <v>0.2952403335048448</v>
      </c>
      <c r="AA45" s="3396"/>
      <c r="AB45" s="3491"/>
      <c r="AC45" s="3780"/>
      <c r="AD45" s="3780"/>
      <c r="AE45" s="3780"/>
      <c r="AF45" s="3780"/>
      <c r="AG45" s="3780"/>
      <c r="AH45" s="3781"/>
    </row>
    <row r="46" spans="2:34" s="3287" customFormat="1" ht="14.4" thickBot="1">
      <c r="B46" s="3377" t="s">
        <v>281</v>
      </c>
      <c r="C46" s="3378"/>
      <c r="D46" s="3379"/>
      <c r="E46" s="3380">
        <f t="shared" si="5"/>
        <v>5066750.0000000019</v>
      </c>
      <c r="F46" s="3380">
        <f t="shared" si="5"/>
        <v>193575.83333333337</v>
      </c>
      <c r="G46" s="3381">
        <f t="shared" si="5"/>
        <v>0</v>
      </c>
      <c r="H46" s="3378"/>
      <c r="I46" s="3380"/>
      <c r="J46" s="3382">
        <f t="shared" si="6"/>
        <v>2535173.0466666669</v>
      </c>
      <c r="K46" s="3378">
        <f t="shared" si="6"/>
        <v>3333028.9725000006</v>
      </c>
      <c r="L46" s="3380">
        <f t="shared" si="6"/>
        <v>163717.73541666652</v>
      </c>
      <c r="M46" s="3382">
        <f t="shared" si="6"/>
        <v>0</v>
      </c>
      <c r="N46" s="3383"/>
      <c r="O46" s="3380"/>
      <c r="P46" s="3380">
        <f>P34+P37+P40+P43</f>
        <v>122654.99999999985</v>
      </c>
      <c r="Q46" s="3380"/>
      <c r="R46" s="3382">
        <f>R34+R37+R40+R43</f>
        <v>128520</v>
      </c>
      <c r="S46" s="3378"/>
      <c r="T46" s="3380"/>
      <c r="U46" s="3382"/>
      <c r="V46" s="3383"/>
      <c r="W46" s="3384">
        <f>W34+W37+W40+W43</f>
        <v>6914561.2458333299</v>
      </c>
      <c r="X46" s="3385">
        <f>X34+X37+X40+X43</f>
        <v>1196798.673795</v>
      </c>
      <c r="Y46" s="3359">
        <f>SUM(C46:X46)</f>
        <v>19654780.507544998</v>
      </c>
      <c r="AA46" s="3796"/>
      <c r="AB46" s="3782">
        <f>(C46+D46+E46+F46+G46)/$Y46</f>
        <v>0.26763594899032439</v>
      </c>
      <c r="AC46" s="3783">
        <f>(H46+I46+J46)/$Y46</f>
        <v>0.1289850601838812</v>
      </c>
      <c r="AD46" s="3783">
        <f>(K46+L46+M46)/$Y46</f>
        <v>0.17790820439711094</v>
      </c>
      <c r="AE46" s="3783">
        <f>SUM(N46:R46)/$Y46</f>
        <v>1.2779333755651955E-2</v>
      </c>
      <c r="AF46" s="3783">
        <f>SUM(S46:U46)/$Y46</f>
        <v>0</v>
      </c>
      <c r="AG46" s="3783">
        <f>SUM(V46:W46)/$Y46</f>
        <v>0.35180048147467208</v>
      </c>
      <c r="AH46" s="3785">
        <f>X46/$Y46</f>
        <v>6.0890971198359491E-2</v>
      </c>
    </row>
    <row r="47" spans="2:34">
      <c r="B47" s="3386"/>
      <c r="C47" s="3387"/>
      <c r="D47" s="3388"/>
      <c r="E47" s="3389"/>
      <c r="F47" s="3389"/>
      <c r="G47" s="3390"/>
      <c r="H47" s="3387"/>
      <c r="I47" s="3389"/>
      <c r="J47" s="3391"/>
      <c r="K47" s="3387"/>
      <c r="L47" s="3389"/>
      <c r="M47" s="3391"/>
      <c r="N47" s="3387"/>
      <c r="O47" s="3389"/>
      <c r="P47" s="3389"/>
      <c r="Q47" s="3389"/>
      <c r="R47" s="3391"/>
      <c r="S47" s="3387"/>
      <c r="T47" s="3389"/>
      <c r="U47" s="3391"/>
      <c r="V47" s="3392"/>
      <c r="W47" s="3393"/>
      <c r="X47" s="3394"/>
      <c r="Y47" s="3395"/>
      <c r="AA47" s="3797"/>
      <c r="AB47" s="3798"/>
      <c r="AC47" s="3799"/>
      <c r="AD47" s="3799"/>
      <c r="AE47" s="3799"/>
      <c r="AF47" s="3799"/>
      <c r="AG47" s="3799"/>
      <c r="AH47" s="3800"/>
    </row>
    <row r="48" spans="2:34">
      <c r="B48" s="3261" t="s">
        <v>275</v>
      </c>
      <c r="C48" s="3340"/>
      <c r="D48" s="3341"/>
      <c r="E48" s="3342"/>
      <c r="F48" s="3342"/>
      <c r="G48" s="3343"/>
      <c r="H48" s="3340"/>
      <c r="I48" s="3342"/>
      <c r="J48" s="3344"/>
      <c r="K48" s="3340"/>
      <c r="L48" s="3342"/>
      <c r="M48" s="3344"/>
      <c r="N48" s="3340"/>
      <c r="O48" s="3342"/>
      <c r="P48" s="3342"/>
      <c r="Q48" s="3342"/>
      <c r="R48" s="3344"/>
      <c r="S48" s="3340"/>
      <c r="T48" s="3342"/>
      <c r="U48" s="3344"/>
      <c r="V48" s="3360"/>
      <c r="W48" s="3361"/>
      <c r="X48" s="3345"/>
      <c r="Y48" s="3338"/>
      <c r="AA48" s="3432"/>
      <c r="AB48" s="3491"/>
      <c r="AC48" s="3780"/>
      <c r="AD48" s="3780"/>
      <c r="AE48" s="3780"/>
      <c r="AF48" s="3780"/>
      <c r="AG48" s="3780"/>
      <c r="AH48" s="3781"/>
    </row>
    <row r="49" spans="2:34" s="3295" customFormat="1">
      <c r="B49" s="3339" t="s">
        <v>280</v>
      </c>
      <c r="C49" s="3340"/>
      <c r="D49" s="3341"/>
      <c r="E49" s="3342">
        <f>IF('Overall Degree Completion PMS I'!$R155&gt;0,'Overall Degree Completion PMS I'!$R155,0)</f>
        <v>0</v>
      </c>
      <c r="F49" s="3342">
        <f>IF('Overall Degree Completion PMS I'!$R157&gt;0,'Overall Degree Completion PMS I'!$R157,0)</f>
        <v>0</v>
      </c>
      <c r="G49" s="3343">
        <f>IF('Overall Degree Completion PMS I'!$R159&gt;0,'Overall Degree Completion PMS I'!$R159,0)</f>
        <v>0</v>
      </c>
      <c r="H49" s="3340"/>
      <c r="I49" s="3342"/>
      <c r="J49" s="3344">
        <f>IF('At-Risk Student Degree PMS II'!$R107&gt;0,'At-Risk Student Degree PMS II'!$R107,0)</f>
        <v>35.333333333333314</v>
      </c>
      <c r="K49" s="3340"/>
      <c r="L49" s="3342"/>
      <c r="M49" s="3344"/>
      <c r="N49" s="3340"/>
      <c r="O49" s="3342"/>
      <c r="P49" s="3342">
        <f>IF('Student Persistence PMS IV'!$R112&gt;0,'Student Persistence PMS IV'!$R112,0)</f>
        <v>83.666666666666515</v>
      </c>
      <c r="Q49" s="3342"/>
      <c r="R49" s="3344">
        <f>IF('Student Persistence PMS IV'!$R113&gt;0,'Student Persistence PMS IV'!$R113,0)</f>
        <v>0</v>
      </c>
      <c r="S49" s="3340"/>
      <c r="T49" s="3342"/>
      <c r="U49" s="3344"/>
      <c r="V49" s="3363"/>
      <c r="W49" s="3344">
        <v>25</v>
      </c>
      <c r="X49" s="3345" t="str">
        <f>'Institutional Eff PMS VII'!X66</f>
        <v>SIG/SIG</v>
      </c>
      <c r="Y49" s="3346">
        <f>Y50/$Y$69</f>
        <v>1.721528817841049E-2</v>
      </c>
      <c r="AA49" s="3396"/>
      <c r="AB49" s="3491"/>
      <c r="AC49" s="3780"/>
      <c r="AD49" s="3780"/>
      <c r="AE49" s="3780"/>
      <c r="AF49" s="3780"/>
      <c r="AG49" s="3780"/>
      <c r="AH49" s="3781"/>
    </row>
    <row r="50" spans="2:34" s="3366" customFormat="1" ht="14.4" thickBot="1">
      <c r="B50" s="3367" t="s">
        <v>281</v>
      </c>
      <c r="C50" s="3353"/>
      <c r="D50" s="3368"/>
      <c r="E50" s="3354">
        <f>VLOOKUP(E$6,'Weighting and Rates PFF'!$G$30:$H$34,2,0)*E49</f>
        <v>0</v>
      </c>
      <c r="F50" s="3354">
        <f>VLOOKUP(F$6,'Weighting and Rates PFF'!$G$30:$H$34,2,0)*F49</f>
        <v>0</v>
      </c>
      <c r="G50" s="3369">
        <f>VLOOKUP(G$6,'Weighting and Rates PFF'!$G$30:$H$34,2,0)*G49</f>
        <v>0</v>
      </c>
      <c r="H50" s="3353"/>
      <c r="I50" s="3354"/>
      <c r="J50" s="3355">
        <f>VLOOKUP(J$6,'Weighting and Rates PFF'!$G$36:$H$38,2,0)*J49</f>
        <v>194448.87333333321</v>
      </c>
      <c r="K50" s="3353"/>
      <c r="L50" s="3354"/>
      <c r="M50" s="3355"/>
      <c r="N50" s="3370"/>
      <c r="O50" s="3354"/>
      <c r="P50" s="3354">
        <f>VLOOKUP(P$6,'Weighting and Rates PFF'!$G$44:$H$48,2,0)*'Summary of PFF Metrics 2015'!P49</f>
        <v>64004.999999999884</v>
      </c>
      <c r="Q50" s="3354"/>
      <c r="R50" s="3355">
        <f>VLOOKUP(R$6,'Weighting and Rates PFF'!$G$44:$H$48,2,0)*'Summary of PFF Metrics 2015'!R49</f>
        <v>0</v>
      </c>
      <c r="S50" s="3353"/>
      <c r="T50" s="3354"/>
      <c r="U50" s="3355"/>
      <c r="V50" s="3370"/>
      <c r="W50" s="3357">
        <f>IF(W49&gt;0,W49*'Weighting and Rates PFF'!$H$55,0)</f>
        <v>573029.9375</v>
      </c>
      <c r="X50" s="3358">
        <f>'Weighting and Rates PFF'!K68</f>
        <v>314574.74594999995</v>
      </c>
      <c r="Y50" s="3359">
        <f>SUM(C50:X50)</f>
        <v>1146058.556783333</v>
      </c>
      <c r="AA50" s="3500" t="str">
        <f>B48</f>
        <v>ISU</v>
      </c>
      <c r="AB50" s="3782">
        <f>(C50+D50+E50+F50+G50)/$Y50</f>
        <v>0</v>
      </c>
      <c r="AC50" s="3783">
        <f>(H50+I50+J50)/$Y50</f>
        <v>0.16966748529769457</v>
      </c>
      <c r="AD50" s="3783">
        <f>(K50+L50+M50)/$Y50</f>
        <v>0</v>
      </c>
      <c r="AE50" s="3783">
        <f>SUM(N50:R50)/$Y50</f>
        <v>5.5847931697001668E-2</v>
      </c>
      <c r="AF50" s="3783">
        <f>SUM(S50:U50)/$Y50</f>
        <v>0</v>
      </c>
      <c r="AG50" s="3784">
        <f>SUM(V50:W50)/$Y50</f>
        <v>0.50000057510877571</v>
      </c>
      <c r="AH50" s="3790">
        <f>X50/$Y50</f>
        <v>0.2744840078965281</v>
      </c>
    </row>
    <row r="51" spans="2:34">
      <c r="B51" s="3386"/>
      <c r="C51" s="3387"/>
      <c r="D51" s="3388"/>
      <c r="E51" s="3389"/>
      <c r="F51" s="3389"/>
      <c r="G51" s="3390"/>
      <c r="H51" s="3387"/>
      <c r="I51" s="3389"/>
      <c r="J51" s="3391"/>
      <c r="K51" s="3387"/>
      <c r="L51" s="3389"/>
      <c r="M51" s="3391"/>
      <c r="N51" s="3387"/>
      <c r="O51" s="3389"/>
      <c r="P51" s="3389"/>
      <c r="Q51" s="3389"/>
      <c r="R51" s="3391"/>
      <c r="S51" s="3387"/>
      <c r="T51" s="3389"/>
      <c r="U51" s="3391"/>
      <c r="V51" s="3392"/>
      <c r="W51" s="3393"/>
      <c r="X51" s="3394"/>
      <c r="Y51" s="3395"/>
      <c r="AA51" s="3797"/>
      <c r="AB51" s="3798"/>
      <c r="AC51" s="3799"/>
      <c r="AD51" s="3799"/>
      <c r="AE51" s="3799"/>
      <c r="AF51" s="3799"/>
      <c r="AG51" s="3799"/>
      <c r="AH51" s="3800"/>
    </row>
    <row r="52" spans="2:34">
      <c r="B52" s="3261" t="s">
        <v>276</v>
      </c>
      <c r="C52" s="3340"/>
      <c r="D52" s="3341"/>
      <c r="E52" s="3342"/>
      <c r="F52" s="3342"/>
      <c r="G52" s="3343"/>
      <c r="H52" s="3340"/>
      <c r="I52" s="3342"/>
      <c r="J52" s="3344"/>
      <c r="K52" s="3340"/>
      <c r="L52" s="3342"/>
      <c r="M52" s="3344"/>
      <c r="N52" s="3340"/>
      <c r="O52" s="3342"/>
      <c r="P52" s="3342"/>
      <c r="Q52" s="3342"/>
      <c r="R52" s="3344"/>
      <c r="S52" s="3340"/>
      <c r="T52" s="3342"/>
      <c r="U52" s="3344"/>
      <c r="V52" s="3360"/>
      <c r="W52" s="3361"/>
      <c r="X52" s="3345"/>
      <c r="Y52" s="3338"/>
      <c r="AA52" s="3432"/>
      <c r="AB52" s="3491"/>
      <c r="AC52" s="3780"/>
      <c r="AD52" s="3780"/>
      <c r="AE52" s="3780"/>
      <c r="AF52" s="3780"/>
      <c r="AG52" s="3780"/>
      <c r="AH52" s="3781"/>
    </row>
    <row r="53" spans="2:34" s="3295" customFormat="1">
      <c r="B53" s="3339" t="s">
        <v>280</v>
      </c>
      <c r="C53" s="3340"/>
      <c r="D53" s="3341"/>
      <c r="E53" s="3342">
        <f>IF('Overall Degree Completion PMS I'!$R167&gt;0,'Overall Degree Completion PMS I'!$R167,0)</f>
        <v>0</v>
      </c>
      <c r="F53" s="3342">
        <f>IF('Overall Degree Completion PMS I'!$R169&gt;0,'Overall Degree Completion PMS I'!$R169,0)</f>
        <v>180.66666666666674</v>
      </c>
      <c r="G53" s="3343">
        <f>IF('Overall Degree Completion PMS I'!$R171&gt;0,'Overall Degree Completion PMS I'!$R171,0)</f>
        <v>5.3333333333333321</v>
      </c>
      <c r="H53" s="3340"/>
      <c r="I53" s="3342"/>
      <c r="J53" s="3344">
        <f>IF('At-Risk Student Degree PMS II'!$R115&gt;0,'At-Risk Student Degree PMS II'!$R115,0)</f>
        <v>73.333333333333371</v>
      </c>
      <c r="K53" s="3340">
        <f>IF('High Impact Degree PMS III'!$R39&gt;0,'High Impact Degree PMS III'!$R39,0)</f>
        <v>0</v>
      </c>
      <c r="L53" s="3342">
        <f>IF('High Impact Degree PMS III'!$R41&gt;0,'High Impact Degree PMS III'!$R41,0)</f>
        <v>40</v>
      </c>
      <c r="M53" s="3344">
        <f>IF('High Impact Degree PMS III'!$R43&gt;0,'High Impact Degree PMS III'!$R43,0)</f>
        <v>0.66666666666666674</v>
      </c>
      <c r="N53" s="3340"/>
      <c r="O53" s="3342"/>
      <c r="P53" s="3342"/>
      <c r="Q53" s="3342"/>
      <c r="R53" s="3344"/>
      <c r="S53" s="3340"/>
      <c r="T53" s="3342"/>
      <c r="U53" s="3344"/>
      <c r="V53" s="3363"/>
      <c r="W53" s="3344">
        <f>IF('On-time Graduation Rate PMS VI'!$R157&gt;0,'On-time Graduation Rate PMS VI'!$R157,0)</f>
        <v>0</v>
      </c>
      <c r="X53" s="3345" t="str">
        <f>'Institutional Eff PMS VII'!X148</f>
        <v>LOW/MOD</v>
      </c>
      <c r="Y53" s="3346">
        <f>Y54/$Y$69</f>
        <v>2.7970635105222342E-2</v>
      </c>
      <c r="AA53" s="3396"/>
      <c r="AB53" s="3491"/>
      <c r="AC53" s="3780"/>
      <c r="AD53" s="3780"/>
      <c r="AE53" s="3780"/>
      <c r="AF53" s="3780"/>
      <c r="AG53" s="3780"/>
      <c r="AH53" s="3781"/>
    </row>
    <row r="54" spans="2:34" s="3366" customFormat="1" ht="14.4" thickBot="1">
      <c r="B54" s="3367" t="s">
        <v>281</v>
      </c>
      <c r="C54" s="3353"/>
      <c r="D54" s="3368"/>
      <c r="E54" s="3354">
        <f>VLOOKUP(E$6,'Weighting and Rates PFF'!$G$30:$H$34,2,0)*E53</f>
        <v>0</v>
      </c>
      <c r="F54" s="3354">
        <f>VLOOKUP(F$6,'Weighting and Rates PFF'!$G$30:$H$34,2,0)*F53</f>
        <v>704148.3333333336</v>
      </c>
      <c r="G54" s="3369">
        <f>VLOOKUP(G$6,'Weighting and Rates PFF'!$G$30:$H$34,2,0)*G53</f>
        <v>10393.33333333333</v>
      </c>
      <c r="H54" s="3353"/>
      <c r="I54" s="3354"/>
      <c r="J54" s="3355">
        <f>VLOOKUP(J$6,'Weighting and Rates PFF'!$G$36:$H$38,2,0)*J53</f>
        <v>403573.13333333354</v>
      </c>
      <c r="K54" s="3353">
        <f>VLOOKUP(K$6,'Weighting and Rates PFF'!$G$40:$H$42,2,0)*K53</f>
        <v>0</v>
      </c>
      <c r="L54" s="3354">
        <f>VLOOKUP(L$6,'Weighting and Rates PFF'!$G$40:$H$42,2,0)*L53</f>
        <v>561317.94999999995</v>
      </c>
      <c r="M54" s="3355">
        <f>VLOOKUP(M$6,'Weighting and Rates PFF'!$G$40:$H$42,2,0)*M53</f>
        <v>4547.7329166666677</v>
      </c>
      <c r="N54" s="3370"/>
      <c r="O54" s="3354"/>
      <c r="P54" s="3354">
        <f>VLOOKUP(P$6,'Weighting and Rates PFF'!$B$44:$C$48,2,0)*'Summary of PFF Metrics 2015'!P53</f>
        <v>0</v>
      </c>
      <c r="Q54" s="3354"/>
      <c r="R54" s="3355">
        <f>VLOOKUP(R$6,'Weighting and Rates PFF'!$B$44:$C$48,2,0)*'Summary of PFF Metrics 2015'!R53</f>
        <v>0</v>
      </c>
      <c r="S54" s="3353"/>
      <c r="T54" s="3354"/>
      <c r="U54" s="3355"/>
      <c r="V54" s="3370"/>
      <c r="W54" s="3357">
        <f>IF(W53&gt;0,W53*'Weighting and Rates PFF'!$H$55,0)</f>
        <v>0</v>
      </c>
      <c r="X54" s="3358">
        <f>'Weighting and Rates PFF'!K69</f>
        <v>178084.52399999998</v>
      </c>
      <c r="Y54" s="3359">
        <f>SUM(C54:X54)</f>
        <v>1862065.0069166671</v>
      </c>
      <c r="AA54" s="3500" t="str">
        <f>B52</f>
        <v>BSU</v>
      </c>
      <c r="AB54" s="3789">
        <f>(C54+D54+E54+F54+G54)/$Y54</f>
        <v>0.38373615529666888</v>
      </c>
      <c r="AC54" s="3783">
        <f>(H54+I54+J54)/$Y54</f>
        <v>0.2167341805115586</v>
      </c>
      <c r="AD54" s="3784">
        <f>(K54+L54+M54)/$Y54</f>
        <v>0.30389147576199027</v>
      </c>
      <c r="AE54" s="3783">
        <f>SUM(N54:R54)/$Y54</f>
        <v>0</v>
      </c>
      <c r="AF54" s="3783">
        <f>SUM(S54:U54)/$Y54</f>
        <v>0</v>
      </c>
      <c r="AG54" s="3783">
        <f>SUM(V54:W54)/$Y54</f>
        <v>0</v>
      </c>
      <c r="AH54" s="3785">
        <f>X54/$Y54</f>
        <v>9.5638188429782237E-2</v>
      </c>
    </row>
    <row r="55" spans="2:34">
      <c r="B55" s="3386"/>
      <c r="C55" s="3387"/>
      <c r="D55" s="3388"/>
      <c r="E55" s="3389"/>
      <c r="F55" s="3389"/>
      <c r="G55" s="3390"/>
      <c r="H55" s="3387"/>
      <c r="I55" s="3389"/>
      <c r="J55" s="3391"/>
      <c r="K55" s="3387"/>
      <c r="L55" s="3389"/>
      <c r="M55" s="3391"/>
      <c r="N55" s="3387"/>
      <c r="O55" s="3389"/>
      <c r="P55" s="3389"/>
      <c r="Q55" s="3389"/>
      <c r="R55" s="3391"/>
      <c r="S55" s="3387"/>
      <c r="T55" s="3389"/>
      <c r="U55" s="3391"/>
      <c r="V55" s="3392"/>
      <c r="W55" s="3393"/>
      <c r="X55" s="3394"/>
      <c r="Y55" s="3395"/>
      <c r="AA55" s="3797"/>
      <c r="AB55" s="3798"/>
      <c r="AC55" s="3799"/>
      <c r="AD55" s="3799"/>
      <c r="AE55" s="3799"/>
      <c r="AF55" s="3799"/>
      <c r="AG55" s="3799"/>
      <c r="AH55" s="3800"/>
    </row>
    <row r="56" spans="2:34">
      <c r="B56" s="3261" t="s">
        <v>277</v>
      </c>
      <c r="C56" s="3340"/>
      <c r="D56" s="3341"/>
      <c r="E56" s="3342"/>
      <c r="F56" s="3342"/>
      <c r="G56" s="3343"/>
      <c r="H56" s="3340"/>
      <c r="I56" s="3342"/>
      <c r="J56" s="3344"/>
      <c r="K56" s="3340"/>
      <c r="L56" s="3342"/>
      <c r="M56" s="3344"/>
      <c r="N56" s="3340"/>
      <c r="O56" s="3342"/>
      <c r="P56" s="3342"/>
      <c r="Q56" s="3342"/>
      <c r="R56" s="3344"/>
      <c r="S56" s="3340"/>
      <c r="T56" s="3342"/>
      <c r="U56" s="3344"/>
      <c r="V56" s="3360"/>
      <c r="W56" s="3361"/>
      <c r="X56" s="3345"/>
      <c r="Y56" s="3338"/>
      <c r="AA56" s="3432"/>
      <c r="AB56" s="3491"/>
      <c r="AC56" s="3780"/>
      <c r="AD56" s="3780"/>
      <c r="AE56" s="3780"/>
      <c r="AF56" s="3780"/>
      <c r="AG56" s="3780"/>
      <c r="AH56" s="3781"/>
    </row>
    <row r="57" spans="2:34" s="3295" customFormat="1">
      <c r="B57" s="3339" t="s">
        <v>280</v>
      </c>
      <c r="C57" s="3340"/>
      <c r="D57" s="3341"/>
      <c r="E57" s="3342">
        <f>IF('Overall Degree Completion PMS I'!$R179&gt;0,'Overall Degree Completion PMS I'!$R179,0)</f>
        <v>130.66666666666674</v>
      </c>
      <c r="F57" s="3342">
        <f>IF('Overall Degree Completion PMS I'!$R181&gt;0,'Overall Degree Completion PMS I'!$R181,0)</f>
        <v>13.666666666666657</v>
      </c>
      <c r="G57" s="3343">
        <f>IF('Overall Degree Completion PMS I'!$R183&gt;0,'Overall Degree Completion PMS I'!$R183,0)</f>
        <v>3.6666666666666665</v>
      </c>
      <c r="H57" s="3340"/>
      <c r="I57" s="3342"/>
      <c r="J57" s="3344">
        <f>IF('At-Risk Student Degree PMS II'!$R123&gt;0,'At-Risk Student Degree PMS II'!$R123,0)</f>
        <v>85.333333333333314</v>
      </c>
      <c r="K57" s="3340"/>
      <c r="L57" s="3342"/>
      <c r="M57" s="3344"/>
      <c r="N57" s="3340"/>
      <c r="O57" s="3342"/>
      <c r="P57" s="3342">
        <f>IF('Student Persistence PMS IV'!$R123&gt;0,'Student Persistence PMS IV'!$R123,0)</f>
        <v>72.333333333333258</v>
      </c>
      <c r="Q57" s="3342"/>
      <c r="R57" s="3344">
        <f>IF('Student Persistence PMS IV'!$R124&gt;0,'Student Persistence PMS IV'!$R124,0)</f>
        <v>66.666666666666742</v>
      </c>
      <c r="S57" s="3340"/>
      <c r="T57" s="3342"/>
      <c r="U57" s="3344"/>
      <c r="V57" s="3363"/>
      <c r="W57" s="3344">
        <f>IF('On-time Graduation Rate PMS VI'!$R168&gt;0,'On-time Graduation Rate PMS VI'!$R168,0)</f>
        <v>50.333333333333343</v>
      </c>
      <c r="X57" s="3345" t="str">
        <f>'Institutional Eff PMS VII'!X101</f>
        <v>LOW/MOD</v>
      </c>
      <c r="Y57" s="3346">
        <f>Y58/$Y$69</f>
        <v>4.3858735042144485E-2</v>
      </c>
      <c r="AA57" s="3396"/>
      <c r="AB57" s="3491"/>
      <c r="AC57" s="3780"/>
      <c r="AD57" s="3780"/>
      <c r="AE57" s="3780"/>
      <c r="AF57" s="3780"/>
      <c r="AG57" s="3780"/>
      <c r="AH57" s="3781"/>
    </row>
    <row r="58" spans="2:34" s="3366" customFormat="1" ht="14.4" thickBot="1">
      <c r="B58" s="3367" t="s">
        <v>281</v>
      </c>
      <c r="C58" s="3353"/>
      <c r="D58" s="3368"/>
      <c r="E58" s="3354">
        <f>VLOOKUP(E$6,'Weighting and Rates PFF'!$G$30:$H$34,2,0)*E57</f>
        <v>1018546.6666666672</v>
      </c>
      <c r="F58" s="3354">
        <f>VLOOKUP(F$6,'Weighting and Rates PFF'!$G$30:$H$34,2,0)*F57</f>
        <v>53265.833333333299</v>
      </c>
      <c r="G58" s="3369">
        <f>VLOOKUP(G$6,'Weighting and Rates PFF'!$G$30:$H$34,2,0)*G57</f>
        <v>7145.4166666666661</v>
      </c>
      <c r="H58" s="3353"/>
      <c r="I58" s="3354"/>
      <c r="J58" s="3355">
        <f>VLOOKUP(J$6,'Weighting and Rates PFF'!$G$36:$H$38,2,0)*J57</f>
        <v>469612.37333333318</v>
      </c>
      <c r="K58" s="3353"/>
      <c r="L58" s="3354"/>
      <c r="M58" s="3355"/>
      <c r="N58" s="3370"/>
      <c r="O58" s="3354"/>
      <c r="P58" s="3354">
        <f>VLOOKUP(P$6,'Weighting and Rates PFF'!$G$44:$H$48,2,0)*'Summary of PFF Metrics 2015'!P57</f>
        <v>55334.999999999942</v>
      </c>
      <c r="Q58" s="3354"/>
      <c r="R58" s="3355">
        <f>VLOOKUP(R$6,'Weighting and Rates PFF'!$G$44:$H$48,2,0)*'Summary of PFF Metrics 2015'!R57</f>
        <v>102000.00000000012</v>
      </c>
      <c r="S58" s="3353"/>
      <c r="T58" s="3354"/>
      <c r="U58" s="3355"/>
      <c r="V58" s="3370"/>
      <c r="W58" s="3357">
        <f>IF(W57&gt;0,W57*'Weighting and Rates PFF'!$H$55,0)</f>
        <v>1153700.2741666669</v>
      </c>
      <c r="X58" s="3358">
        <f>'Weighting and Rates PFF'!K70</f>
        <v>60164.239499999996</v>
      </c>
      <c r="Y58" s="3359">
        <f>SUM(C58:X58)</f>
        <v>2919769.8036666675</v>
      </c>
      <c r="AA58" s="3500" t="str">
        <f>B56</f>
        <v>USI</v>
      </c>
      <c r="AB58" s="3789">
        <f>(C58+D58+E58+F58+G58)/$Y58</f>
        <v>0.36953526792136293</v>
      </c>
      <c r="AC58" s="3783">
        <f>(H58+I58+J58)/$Y58</f>
        <v>0.16083883487786971</v>
      </c>
      <c r="AD58" s="3783">
        <f>(K58+L58+M58)/$Y58</f>
        <v>0</v>
      </c>
      <c r="AE58" s="3783">
        <f>SUM(N58:R58)/$Y58</f>
        <v>5.3886097391108591E-2</v>
      </c>
      <c r="AF58" s="3783">
        <f>SUM(S58:U58)/$Y58</f>
        <v>0</v>
      </c>
      <c r="AG58" s="3784">
        <f>SUM(V58:W58)/$Y58</f>
        <v>0.3951339837537336</v>
      </c>
      <c r="AH58" s="3785">
        <f>X58/$Y58</f>
        <v>2.0605816055925135E-2</v>
      </c>
    </row>
    <row r="59" spans="2:34">
      <c r="B59" s="3386"/>
      <c r="C59" s="3387"/>
      <c r="D59" s="3388"/>
      <c r="E59" s="3389"/>
      <c r="F59" s="3389"/>
      <c r="G59" s="3390"/>
      <c r="H59" s="3387"/>
      <c r="I59" s="3389"/>
      <c r="J59" s="3391"/>
      <c r="K59" s="3387"/>
      <c r="L59" s="3389"/>
      <c r="M59" s="3391"/>
      <c r="N59" s="3387"/>
      <c r="O59" s="3389"/>
      <c r="P59" s="3389"/>
      <c r="Q59" s="3389"/>
      <c r="R59" s="3391"/>
      <c r="S59" s="3387"/>
      <c r="T59" s="3389"/>
      <c r="U59" s="3391"/>
      <c r="V59" s="3392"/>
      <c r="W59" s="3393"/>
      <c r="X59" s="3394"/>
      <c r="Y59" s="3395"/>
      <c r="AA59" s="3797"/>
      <c r="AB59" s="3798"/>
      <c r="AC59" s="3799"/>
      <c r="AD59" s="3799"/>
      <c r="AE59" s="3799"/>
      <c r="AF59" s="3799"/>
      <c r="AG59" s="3799"/>
      <c r="AH59" s="3800"/>
    </row>
    <row r="60" spans="2:34">
      <c r="B60" s="3261" t="s">
        <v>279</v>
      </c>
      <c r="C60" s="3340"/>
      <c r="D60" s="3341"/>
      <c r="E60" s="3342"/>
      <c r="F60" s="3342"/>
      <c r="G60" s="3343"/>
      <c r="H60" s="3340"/>
      <c r="I60" s="3342"/>
      <c r="J60" s="3344"/>
      <c r="K60" s="3340"/>
      <c r="L60" s="3342"/>
      <c r="M60" s="3344"/>
      <c r="N60" s="3340"/>
      <c r="O60" s="3342"/>
      <c r="P60" s="3342"/>
      <c r="Q60" s="3342"/>
      <c r="R60" s="3344"/>
      <c r="S60" s="3340"/>
      <c r="T60" s="3342"/>
      <c r="U60" s="3344"/>
      <c r="V60" s="3360"/>
      <c r="W60" s="3361"/>
      <c r="X60" s="3345"/>
      <c r="Y60" s="3338"/>
      <c r="AA60" s="3432"/>
      <c r="AB60" s="3491"/>
      <c r="AC60" s="3780"/>
      <c r="AD60" s="3780"/>
      <c r="AE60" s="3780"/>
      <c r="AF60" s="3780"/>
      <c r="AG60" s="3780"/>
      <c r="AH60" s="3781"/>
    </row>
    <row r="61" spans="2:34" s="3295" customFormat="1">
      <c r="B61" s="3339" t="s">
        <v>280</v>
      </c>
      <c r="C61" s="3340">
        <f>IF('Overall Degree Completion PMS I'!$R187&gt;0,'Overall Degree Completion PMS I'!$R187,0)</f>
        <v>102.66666666666652</v>
      </c>
      <c r="D61" s="3341">
        <f>IF('Overall Degree Completion PMS I'!$R189&gt;0,'Overall Degree Completion PMS I'!$R189,0)</f>
        <v>1525.6666666666661</v>
      </c>
      <c r="E61" s="3342"/>
      <c r="F61" s="3342"/>
      <c r="G61" s="3343"/>
      <c r="H61" s="3340">
        <f>IF('At-Risk Student Degree PMS II'!$R127&gt;0,'At-Risk Student Degree PMS II'!$R127,0)</f>
        <v>221</v>
      </c>
      <c r="I61" s="3342">
        <f>IF('At-Risk Student Degree PMS II'!$R129&gt;0,'At-Risk Student Degree PMS II'!$R129,0)</f>
        <v>814.00000000000023</v>
      </c>
      <c r="J61" s="3344"/>
      <c r="K61" s="3340"/>
      <c r="L61" s="3342"/>
      <c r="M61" s="3344"/>
      <c r="N61" s="3340">
        <f>IF('Student Persistence PMS IV'!$R129&gt;0,'Student Persistence PMS IV'!$R129,0)</f>
        <v>7544.3333333333321</v>
      </c>
      <c r="O61" s="3342">
        <f>IF('Student Persistence PMS IV'!$R130&gt;0,'Student Persistence PMS IV'!$R130,0)</f>
        <v>4061</v>
      </c>
      <c r="P61" s="3342"/>
      <c r="Q61" s="3342">
        <f>IF('Student Persistence PMS IV'!$R131&gt;0,'Student Persistence PMS IV'!$R131,0)</f>
        <v>2246.3333333333339</v>
      </c>
      <c r="R61" s="3344"/>
      <c r="S61" s="3340">
        <f>IF('Remediation Success PMS V'!R40&gt;0,'Remediation Success PMS V'!R40,0)</f>
        <v>0</v>
      </c>
      <c r="T61" s="3342">
        <f>IF('Remediation Success PMS V'!R48&gt;0,'Remediation Success PMS V'!R48,0)</f>
        <v>0</v>
      </c>
      <c r="U61" s="3344">
        <f>IF('Remediation Success PMS V'!R56&gt;0,'Remediation Success PMS V'!R56,0)</f>
        <v>0</v>
      </c>
      <c r="V61" s="3340">
        <f>IF('On-time Graduation Rate PMS VI'!$R174&gt;0,'On-time Graduation Rate PMS VI'!$R174,0)</f>
        <v>125.00000000000001</v>
      </c>
      <c r="W61" s="3290"/>
      <c r="X61" s="3345" t="str">
        <f>'Institutional Eff PMS VII'!X113</f>
        <v>MOD/MOD</v>
      </c>
      <c r="Y61" s="3346">
        <f>Y62/$Y$69</f>
        <v>0.27035250107187614</v>
      </c>
      <c r="AA61" s="3396"/>
      <c r="AB61" s="3491"/>
      <c r="AC61" s="3780"/>
      <c r="AD61" s="3780"/>
      <c r="AE61" s="3780"/>
      <c r="AF61" s="3780"/>
      <c r="AG61" s="3780"/>
      <c r="AH61" s="3781"/>
    </row>
    <row r="62" spans="2:34" s="3366" customFormat="1" ht="14.4" thickBot="1">
      <c r="B62" s="3367" t="s">
        <v>281</v>
      </c>
      <c r="C62" s="3353">
        <f>VLOOKUP(C$6,'Weighting and Rates PFF'!$G$30:$H$34,2,0)*C61</f>
        <v>200071.66666666637</v>
      </c>
      <c r="D62" s="3368">
        <f>VLOOKUP(D$6,'Weighting and Rates PFF'!$G$30:$H$34,2,0)*D61</f>
        <v>5946285.8333333312</v>
      </c>
      <c r="E62" s="3354"/>
      <c r="F62" s="3354"/>
      <c r="G62" s="3369"/>
      <c r="H62" s="3353">
        <f>VLOOKUP(H$6,'Weighting and Rates PFF'!$G$36:$H$38,2,0)*H61</f>
        <v>304055.66749999998</v>
      </c>
      <c r="I62" s="3354">
        <f>VLOOKUP(I$6,'Weighting and Rates PFF'!$G$36:$H$38,2,0)*I61</f>
        <v>2239830.8900000006</v>
      </c>
      <c r="J62" s="3355"/>
      <c r="K62" s="3353"/>
      <c r="L62" s="3354"/>
      <c r="M62" s="3355"/>
      <c r="N62" s="3354">
        <f>VLOOKUP(N$6,'Weighting and Rates PFF'!$G$44:$H$48,2,0)*'Summary of PFF Metrics 2015'!N61</f>
        <v>2301021.6666666665</v>
      </c>
      <c r="O62" s="3354">
        <f>VLOOKUP(O$6,'Weighting and Rates PFF'!$G$44:$H$48,2,0)*'Summary of PFF Metrics 2015'!O61</f>
        <v>2436600</v>
      </c>
      <c r="P62" s="3354"/>
      <c r="Q62" s="3426">
        <f>VLOOKUP(Q$6,'Weighting and Rates PFF'!$G$44:$H$48,2,0)*'Summary of PFF Metrics 2015'!Q61</f>
        <v>2718063.333333334</v>
      </c>
      <c r="R62" s="3355"/>
      <c r="S62" s="3353">
        <f>VLOOKUP(S$6,'Weighting and Rates PFF'!$G$50:$H$52,2,0)*S61</f>
        <v>0</v>
      </c>
      <c r="T62" s="3354">
        <f>VLOOKUP(T$6,'Weighting and Rates PFF'!$G$50:$H$52,2,0)*T61</f>
        <v>0</v>
      </c>
      <c r="U62" s="3355">
        <f>VLOOKUP(U$6,'Weighting and Rates PFF'!$G$50:$H$52,2,0)*U61</f>
        <v>0</v>
      </c>
      <c r="V62" s="3370">
        <f>IF(V61&gt;0,V61*'Weighting and Rates PFF'!$H$54,0)</f>
        <v>1432574.8437500002</v>
      </c>
      <c r="W62" s="3400"/>
      <c r="X62" s="3358">
        <f>'Weighting and Rates PFF'!K71</f>
        <v>419440.36725000001</v>
      </c>
      <c r="Y62" s="3359">
        <f>SUM(C62:X62)</f>
        <v>17997944.268499997</v>
      </c>
      <c r="AA62" s="3500" t="str">
        <f>B60</f>
        <v>ITCCI</v>
      </c>
      <c r="AB62" s="3789">
        <f>(C62+D62+E62+F62+G62)/$Y62</f>
        <v>0.34150330772816939</v>
      </c>
      <c r="AC62" s="3783">
        <f>(H62+I62+J62)/$Y62</f>
        <v>0.14134317339521443</v>
      </c>
      <c r="AD62" s="3783">
        <f>(K62+L62+M62)/$Y62</f>
        <v>0</v>
      </c>
      <c r="AE62" s="3784">
        <f>SUM(N62:R62)/$Y62</f>
        <v>0.41425203283071282</v>
      </c>
      <c r="AF62" s="3783">
        <f>SUM(S62:U62)/$Y62</f>
        <v>0</v>
      </c>
      <c r="AG62" s="3783">
        <f>SUM(V62:W62)/$Y62</f>
        <v>7.9596581830586779E-2</v>
      </c>
      <c r="AH62" s="3785">
        <f>X62/$Y62</f>
        <v>2.3304904215316665E-2</v>
      </c>
    </row>
    <row r="63" spans="2:34">
      <c r="B63" s="3386"/>
      <c r="C63" s="3387"/>
      <c r="D63" s="3388"/>
      <c r="E63" s="3389"/>
      <c r="F63" s="3389"/>
      <c r="G63" s="3390"/>
      <c r="H63" s="3387"/>
      <c r="I63" s="3389"/>
      <c r="J63" s="3391"/>
      <c r="K63" s="3387"/>
      <c r="L63" s="3389"/>
      <c r="M63" s="3391"/>
      <c r="N63" s="3387"/>
      <c r="O63" s="3389"/>
      <c r="P63" s="3389"/>
      <c r="Q63" s="3389"/>
      <c r="R63" s="3391"/>
      <c r="S63" s="3387"/>
      <c r="T63" s="3389"/>
      <c r="U63" s="3391"/>
      <c r="V63" s="3392"/>
      <c r="W63" s="3393"/>
      <c r="X63" s="3394"/>
      <c r="Y63" s="3395"/>
      <c r="AA63" s="3797"/>
      <c r="AB63" s="3798"/>
      <c r="AC63" s="3799"/>
      <c r="AD63" s="3799"/>
      <c r="AE63" s="3799"/>
      <c r="AF63" s="3799"/>
      <c r="AG63" s="3799"/>
      <c r="AH63" s="3800"/>
    </row>
    <row r="64" spans="2:34">
      <c r="B64" s="3261" t="s">
        <v>278</v>
      </c>
      <c r="C64" s="3340"/>
      <c r="D64" s="3341"/>
      <c r="E64" s="3342"/>
      <c r="F64" s="3342"/>
      <c r="G64" s="3343"/>
      <c r="H64" s="3340"/>
      <c r="I64" s="3342"/>
      <c r="J64" s="3344"/>
      <c r="K64" s="3340"/>
      <c r="L64" s="3342"/>
      <c r="M64" s="3344"/>
      <c r="N64" s="3340"/>
      <c r="O64" s="3342"/>
      <c r="P64" s="3342"/>
      <c r="Q64" s="3342"/>
      <c r="R64" s="3344"/>
      <c r="S64" s="3340"/>
      <c r="T64" s="3342"/>
      <c r="U64" s="3344"/>
      <c r="V64" s="3360"/>
      <c r="W64" s="3361"/>
      <c r="X64" s="3345"/>
      <c r="Y64" s="3338"/>
      <c r="AA64" s="3432"/>
      <c r="AB64" s="3491"/>
      <c r="AC64" s="3780"/>
      <c r="AD64" s="3780"/>
      <c r="AE64" s="3780"/>
      <c r="AF64" s="3780"/>
      <c r="AG64" s="3780"/>
      <c r="AH64" s="3781"/>
    </row>
    <row r="65" spans="1:34" s="3295" customFormat="1">
      <c r="B65" s="3339" t="s">
        <v>280</v>
      </c>
      <c r="C65" s="3340">
        <f>IF('Overall Degree Completion PMS I'!$R199&gt;0,'Overall Degree Completion PMS I'!$R199,0)</f>
        <v>0</v>
      </c>
      <c r="D65" s="3341">
        <f>IF('Overall Degree Completion PMS I'!$R201&gt;0,'Overall Degree Completion PMS I'!$R201,0)</f>
        <v>128.33333333333337</v>
      </c>
      <c r="E65" s="3342">
        <f>IF('Overall Degree Completion PMS I'!$R203&gt;0,'Overall Degree Completion PMS I'!$R203,0)</f>
        <v>57.333333333333329</v>
      </c>
      <c r="F65" s="3342"/>
      <c r="G65" s="3343"/>
      <c r="H65" s="3340">
        <f>IF('At-Risk Student Degree PMS II'!$R135&gt;0,'At-Risk Student Degree PMS II'!$R135,0)</f>
        <v>0</v>
      </c>
      <c r="I65" s="3342">
        <f>IF('At-Risk Student Degree PMS II'!$R137&gt;0,'At-Risk Student Degree PMS II'!$R137,0)</f>
        <v>88.386666666666656</v>
      </c>
      <c r="J65" s="3344">
        <f>IF('At-Risk Student Degree PMS II'!$R139&gt;0,'At-Risk Student Degree PMS II'!$R139,0)</f>
        <v>32.333333333333336</v>
      </c>
      <c r="K65" s="3340"/>
      <c r="L65" s="3342"/>
      <c r="M65" s="3344"/>
      <c r="N65" s="3340">
        <f>IF('Student Persistence PMS IV'!$R140&gt;0,'Student Persistence PMS IV'!$R140,0)</f>
        <v>573.06102211697134</v>
      </c>
      <c r="O65" s="3342">
        <f>IF('Student Persistence PMS IV'!$R141&gt;0,'Student Persistence PMS IV'!$R141,0)</f>
        <v>435.05827560288913</v>
      </c>
      <c r="P65" s="3342"/>
      <c r="Q65" s="3342">
        <f>IF('Student Persistence PMS IV'!$R142&gt;0,'Student Persistence PMS IV'!$R142,0)</f>
        <v>388.85295533109615</v>
      </c>
      <c r="R65" s="3344"/>
      <c r="S65" s="3340">
        <f>IF('Remediation Success PMS V'!R65&gt;0,'Remediation Success PMS V'!R65,0)</f>
        <v>0</v>
      </c>
      <c r="T65" s="3342">
        <f>IF('Remediation Success PMS V'!R73&gt;0,'Remediation Success PMS V'!R73,0)</f>
        <v>0</v>
      </c>
      <c r="U65" s="3344">
        <f>IF('Remediation Success PMS V'!R82&gt;0,'Remediation Success PMS V'!R82,0)</f>
        <v>0</v>
      </c>
      <c r="V65" s="3340">
        <f>IF('On-time Graduation Rate PMS VI'!$R185&gt;0,'On-time Graduation Rate PMS VI'!$R185,0)</f>
        <v>0</v>
      </c>
      <c r="W65" s="3344">
        <f>IF('On-time Graduation Rate PMS VI'!$R190&gt;0,'On-time Graduation Rate PMS VI'!$R190,0)</f>
        <v>9.3333333333333339</v>
      </c>
      <c r="X65" s="3345" t="str">
        <f>'Institutional Eff PMS VII'!X123</f>
        <v>LOW/MOD</v>
      </c>
      <c r="Y65" s="3346">
        <f>Y66/$Y$69</f>
        <v>3.822101626128175E-2</v>
      </c>
      <c r="AA65" s="3396"/>
      <c r="AB65" s="3491"/>
      <c r="AC65" s="3780"/>
      <c r="AD65" s="3780"/>
      <c r="AE65" s="3780"/>
      <c r="AF65" s="3780"/>
      <c r="AG65" s="3780"/>
      <c r="AH65" s="3781"/>
    </row>
    <row r="66" spans="1:34" s="3366" customFormat="1" ht="14.4" thickBot="1">
      <c r="B66" s="3367" t="s">
        <v>281</v>
      </c>
      <c r="C66" s="3353">
        <f>VLOOKUP(C$6,'Weighting and Rates PFF'!$G$30:$H$34,2,0)*C65</f>
        <v>0</v>
      </c>
      <c r="D66" s="3368">
        <f>VLOOKUP(D$6,'Weighting and Rates PFF'!$G$30:$H$34,2,0)*D65</f>
        <v>500179.1666666668</v>
      </c>
      <c r="E66" s="3354">
        <f>VLOOKUP(E$6,'Weighting and Rates PFF'!$G$30:$H$34,2,0)*E65</f>
        <v>446913.33333333331</v>
      </c>
      <c r="F66" s="3354"/>
      <c r="G66" s="3369"/>
      <c r="H66" s="3353">
        <f>VLOOKUP(H$6,'Weighting and Rates PFF'!$G$36:$H$38,2,0)*H65</f>
        <v>0</v>
      </c>
      <c r="I66" s="3354">
        <f>VLOOKUP(I$6,'Weighting and Rates PFF'!$G$36:$H$38,2,0)*I65</f>
        <v>243207.84553333328</v>
      </c>
      <c r="J66" s="3355">
        <f>VLOOKUP(J$6,'Weighting and Rates PFF'!$G$36:$H$38,2,0)*J65</f>
        <v>177939.06333333332</v>
      </c>
      <c r="K66" s="3353"/>
      <c r="L66" s="3354"/>
      <c r="M66" s="3355"/>
      <c r="N66" s="3354">
        <f>VLOOKUP(N$6,'Weighting and Rates PFF'!$G$44:$H$48,2,0)*'Summary of PFF Metrics 2015'!N65</f>
        <v>174783.61174567626</v>
      </c>
      <c r="O66" s="3354">
        <f>VLOOKUP(O$6,'Weighting and Rates PFF'!$G$44:$H$48,2,0)*'Summary of PFF Metrics 2015'!O65</f>
        <v>261034.96536173348</v>
      </c>
      <c r="P66" s="3354"/>
      <c r="Q66" s="3426">
        <f>VLOOKUP(Q$6,'Weighting and Rates PFF'!$G$44:$H$48,2,0)*'Summary of PFF Metrics 2015'!Q65</f>
        <v>470512.07595062634</v>
      </c>
      <c r="R66" s="3355"/>
      <c r="S66" s="3353">
        <f>VLOOKUP(S$6,'Weighting and Rates PFF'!$G$50:$H$52,2,0)*S65</f>
        <v>0</v>
      </c>
      <c r="T66" s="3354">
        <f>VLOOKUP(T$6,'Weighting and Rates PFF'!$G$50:$H$52,2,0)*T65</f>
        <v>0</v>
      </c>
      <c r="U66" s="3355">
        <f>VLOOKUP(U$6,'Weighting and Rates PFF'!$G$50:$H$52,2,0)*U65</f>
        <v>0</v>
      </c>
      <c r="V66" s="3370">
        <f>IF(V65&gt;0,V65*'Weighting and Rates PFF'!$H$54,0)</f>
        <v>0</v>
      </c>
      <c r="W66" s="3357">
        <f>IF(W65&gt;0,W65*'Weighting and Rates PFF'!$H$55,0)</f>
        <v>213931.1766666667</v>
      </c>
      <c r="X66" s="3358">
        <f>'Weighting and Rates PFF'!K72</f>
        <v>55953.566999999995</v>
      </c>
      <c r="Y66" s="3359">
        <f>SUM(C66:X66)</f>
        <v>2544454.8055913695</v>
      </c>
      <c r="AA66" s="3500" t="str">
        <f>B64</f>
        <v>VU</v>
      </c>
      <c r="AB66" s="3789">
        <f>(C66+D66+E66+F66+G66)/$Y66</f>
        <v>0.37221824412789351</v>
      </c>
      <c r="AC66" s="3783">
        <f>(H66+I66+J66)/$Y66</f>
        <v>0.16551557840257483</v>
      </c>
      <c r="AD66" s="3783">
        <f>(K66+L66+M66)/$Y66</f>
        <v>0</v>
      </c>
      <c r="AE66" s="3784">
        <f>SUM(N66:R66)/$Y66</f>
        <v>0.35619836951570111</v>
      </c>
      <c r="AF66" s="3783">
        <f>SUM(S66:U66)/$Y66</f>
        <v>0</v>
      </c>
      <c r="AG66" s="3783">
        <f>SUM(V66:W66)/$Y66</f>
        <v>8.4077412653020531E-2</v>
      </c>
      <c r="AH66" s="3785">
        <f>X66/$Y66</f>
        <v>2.1990395300810046E-2</v>
      </c>
    </row>
    <row r="67" spans="1:34">
      <c r="B67" s="3386"/>
      <c r="C67" s="3387"/>
      <c r="D67" s="3388"/>
      <c r="E67" s="3389"/>
      <c r="F67" s="3389"/>
      <c r="G67" s="3390"/>
      <c r="H67" s="3387"/>
      <c r="I67" s="3389"/>
      <c r="J67" s="3391"/>
      <c r="K67" s="3387"/>
      <c r="L67" s="3389"/>
      <c r="M67" s="3391"/>
      <c r="N67" s="3387"/>
      <c r="O67" s="3389"/>
      <c r="P67" s="3389"/>
      <c r="Q67" s="3389"/>
      <c r="R67" s="3391"/>
      <c r="S67" s="3387"/>
      <c r="T67" s="3389"/>
      <c r="U67" s="3391"/>
      <c r="V67" s="3392"/>
      <c r="W67" s="3393"/>
      <c r="X67" s="3394"/>
      <c r="Y67" s="3395"/>
      <c r="AA67" s="3797"/>
      <c r="AB67" s="3798"/>
      <c r="AC67" s="3799"/>
      <c r="AD67" s="3799"/>
      <c r="AE67" s="3799"/>
      <c r="AF67" s="3799"/>
      <c r="AG67" s="3799"/>
      <c r="AH67" s="3800"/>
    </row>
    <row r="68" spans="1:34" s="3399" customFormat="1">
      <c r="B68" s="3399" t="s">
        <v>288</v>
      </c>
      <c r="C68" s="3371">
        <f>C29+C45+C49+C53+C61+C65+C57</f>
        <v>102.66666666666652</v>
      </c>
      <c r="D68" s="3372">
        <f t="shared" ref="C68:F69" si="7">D29+D45+D49+D53+D61+D65+D57</f>
        <v>1653.9999999999995</v>
      </c>
      <c r="E68" s="3373">
        <f>E29+E45+E49+E53+E61+E65+E57</f>
        <v>1499.9999999999998</v>
      </c>
      <c r="F68" s="3373">
        <f t="shared" si="7"/>
        <v>414.33333333333337</v>
      </c>
      <c r="G68" s="3374">
        <f>G29+G45+G49+G53+G61+G65+G57</f>
        <v>8.9999999999999982</v>
      </c>
      <c r="H68" s="3371">
        <f t="shared" ref="H68:N69" si="8">H29+H45+H49+H53+H61+H65+H57</f>
        <v>221</v>
      </c>
      <c r="I68" s="3373">
        <f t="shared" si="8"/>
        <v>902.38666666666688</v>
      </c>
      <c r="J68" s="3376">
        <f t="shared" si="8"/>
        <v>1309.333333333333</v>
      </c>
      <c r="K68" s="3371">
        <f t="shared" si="8"/>
        <v>282.99999999999989</v>
      </c>
      <c r="L68" s="3373">
        <f t="shared" si="8"/>
        <v>76.666666666666686</v>
      </c>
      <c r="M68" s="3376">
        <f t="shared" si="8"/>
        <v>9.3333333333333321</v>
      </c>
      <c r="N68" s="3371">
        <f t="shared" si="8"/>
        <v>8117.3943554503039</v>
      </c>
      <c r="O68" s="3373">
        <f t="shared" ref="O68:W68" si="9">O29+O45+O49+O53+O61+O65+O57</f>
        <v>4496.0582756028889</v>
      </c>
      <c r="P68" s="3373">
        <f t="shared" si="9"/>
        <v>867.99999999999966</v>
      </c>
      <c r="Q68" s="3373">
        <f t="shared" si="9"/>
        <v>2635.1862886644303</v>
      </c>
      <c r="R68" s="3376">
        <f t="shared" si="9"/>
        <v>626.66666666666674</v>
      </c>
      <c r="S68" s="3371">
        <f t="shared" si="9"/>
        <v>0</v>
      </c>
      <c r="T68" s="3373">
        <f t="shared" si="9"/>
        <v>0</v>
      </c>
      <c r="U68" s="3376">
        <f t="shared" si="9"/>
        <v>0</v>
      </c>
      <c r="V68" s="3401">
        <f t="shared" si="9"/>
        <v>125.00000000000001</v>
      </c>
      <c r="W68" s="3376">
        <f t="shared" si="9"/>
        <v>663.66666666666663</v>
      </c>
      <c r="X68" s="3398"/>
      <c r="Y68" s="3338"/>
      <c r="AA68" s="3396"/>
      <c r="AB68" s="3491"/>
      <c r="AC68" s="3780"/>
      <c r="AD68" s="3780"/>
      <c r="AE68" s="3780"/>
      <c r="AF68" s="3780"/>
      <c r="AG68" s="3780"/>
      <c r="AH68" s="3781"/>
    </row>
    <row r="69" spans="1:34" s="3287" customFormat="1" ht="14.4" thickBot="1">
      <c r="B69" s="3402" t="s">
        <v>289</v>
      </c>
      <c r="C69" s="3403">
        <f t="shared" si="7"/>
        <v>200071.66666666637</v>
      </c>
      <c r="D69" s="3404">
        <f t="shared" si="7"/>
        <v>6446464.9999999981</v>
      </c>
      <c r="E69" s="3405">
        <f t="shared" si="7"/>
        <v>11692500</v>
      </c>
      <c r="F69" s="3405">
        <f t="shared" si="7"/>
        <v>1614864.1666666667</v>
      </c>
      <c r="G69" s="3406">
        <f>G30+G46+G50+G54+G62+G66+G58</f>
        <v>17538.749999999996</v>
      </c>
      <c r="H69" s="3403">
        <f t="shared" si="8"/>
        <v>304055.66749999998</v>
      </c>
      <c r="I69" s="3405">
        <f t="shared" si="8"/>
        <v>2483038.7355333338</v>
      </c>
      <c r="J69" s="3407">
        <f t="shared" si="8"/>
        <v>7205614.8533333335</v>
      </c>
      <c r="K69" s="3403">
        <f t="shared" si="8"/>
        <v>5516065.4924999988</v>
      </c>
      <c r="L69" s="3405">
        <f t="shared" si="8"/>
        <v>1075859.4041666668</v>
      </c>
      <c r="M69" s="3407">
        <f t="shared" si="8"/>
        <v>63668.260833333334</v>
      </c>
      <c r="N69" s="3408">
        <f t="shared" si="8"/>
        <v>2475805.278412343</v>
      </c>
      <c r="O69" s="3405">
        <f t="shared" ref="O69:W69" si="10">O30+O46+O50+O54+O62+O66+O58</f>
        <v>2697634.9653617335</v>
      </c>
      <c r="P69" s="3405">
        <f t="shared" si="10"/>
        <v>664019.99999999977</v>
      </c>
      <c r="Q69" s="3405">
        <f t="shared" si="10"/>
        <v>3188575.4092839602</v>
      </c>
      <c r="R69" s="3407">
        <f t="shared" si="10"/>
        <v>958800.00000000023</v>
      </c>
      <c r="S69" s="3403">
        <f t="shared" si="10"/>
        <v>0</v>
      </c>
      <c r="T69" s="3405">
        <f t="shared" si="10"/>
        <v>0</v>
      </c>
      <c r="U69" s="3407">
        <f t="shared" si="10"/>
        <v>0</v>
      </c>
      <c r="V69" s="3408">
        <f t="shared" si="10"/>
        <v>1432574.8437500002</v>
      </c>
      <c r="W69" s="3409">
        <f t="shared" si="10"/>
        <v>15212034.740833331</v>
      </c>
      <c r="X69" s="3410">
        <f>X30+X46+X50+X54+X62+X66+X58</f>
        <v>3322951.7213099999</v>
      </c>
      <c r="Y69" s="3359">
        <f>SUM(C69:X69)</f>
        <v>66572138.956151359</v>
      </c>
      <c r="AA69" s="3796"/>
      <c r="AB69" s="3782">
        <f>(C69+D69+E69+F69+G69)/$Y69</f>
        <v>0.29999696414272931</v>
      </c>
      <c r="AC69" s="3783">
        <f>(H69+I69+J69)/$Y69</f>
        <v>0.15010347291001871</v>
      </c>
      <c r="AD69" s="3783">
        <f>(K69+L69+M69)/$Y69</f>
        <v>9.9975654408277242E-2</v>
      </c>
      <c r="AE69" s="3783">
        <f>SUM(N69:R69)/$Y69</f>
        <v>0.14998520116102451</v>
      </c>
      <c r="AF69" s="3783">
        <f>SUM(S69:U69)/$Y69</f>
        <v>0</v>
      </c>
      <c r="AG69" s="3783">
        <f>SUM(V69:W69)/$Y69</f>
        <v>0.25002365622571521</v>
      </c>
      <c r="AH69" s="3785">
        <f>X69/$Y69</f>
        <v>4.9915051152235129E-2</v>
      </c>
    </row>
    <row r="70" spans="1:34">
      <c r="B70" s="3411" t="s">
        <v>318</v>
      </c>
      <c r="C70" s="4455">
        <f>SUM(C69:G69)</f>
        <v>19971439.583333332</v>
      </c>
      <c r="D70" s="4456"/>
      <c r="E70" s="4456"/>
      <c r="F70" s="4456"/>
      <c r="G70" s="4457"/>
      <c r="H70" s="4458">
        <f>SUM(H69:J69)</f>
        <v>9992709.2563666664</v>
      </c>
      <c r="I70" s="4459"/>
      <c r="J70" s="4460"/>
      <c r="K70" s="4452">
        <f>SUM(K69:M69)</f>
        <v>6655593.1574999988</v>
      </c>
      <c r="L70" s="4453"/>
      <c r="M70" s="4454"/>
      <c r="N70" s="4433">
        <f>SUM(N69:R69)</f>
        <v>9984835.6530580372</v>
      </c>
      <c r="O70" s="4434"/>
      <c r="P70" s="4434"/>
      <c r="Q70" s="4434"/>
      <c r="R70" s="4435"/>
      <c r="S70" s="4437">
        <f>SUM(S69:U69)</f>
        <v>0</v>
      </c>
      <c r="T70" s="4438"/>
      <c r="U70" s="4439"/>
      <c r="V70" s="4477">
        <f>SUM(V69:W69)</f>
        <v>16644609.584583331</v>
      </c>
      <c r="W70" s="4478"/>
      <c r="X70" s="3412">
        <f>SUM(X69)</f>
        <v>3322951.7213099999</v>
      </c>
      <c r="Y70" s="3413">
        <f>SUM(C70:X70)</f>
        <v>66572138.956151359</v>
      </c>
    </row>
    <row r="71" spans="1:34" ht="14.4" thickBot="1">
      <c r="B71" s="3414" t="s">
        <v>317</v>
      </c>
      <c r="C71" s="4461">
        <f>C70/'Weighting and Rates PFF'!H14</f>
        <v>0.29998090040970921</v>
      </c>
      <c r="D71" s="4462"/>
      <c r="E71" s="4462"/>
      <c r="F71" s="4462"/>
      <c r="G71" s="4463"/>
      <c r="H71" s="4464">
        <f>H70/'Weighting and Rates PFF'!H14</f>
        <v>0.15009543542163575</v>
      </c>
      <c r="I71" s="4465"/>
      <c r="J71" s="4466"/>
      <c r="K71" s="3415"/>
      <c r="L71" s="3416">
        <f>K70/'Weighting and Rates PFF'!H14</f>
        <v>9.9970301080034352E-2</v>
      </c>
      <c r="M71" s="3417"/>
      <c r="N71" s="3418"/>
      <c r="O71" s="4436">
        <f>N70/'Weighting and Rates PFF'!H14</f>
        <v>0.1499771700056583</v>
      </c>
      <c r="P71" s="4436"/>
      <c r="Q71" s="4436"/>
      <c r="R71" s="3419"/>
      <c r="S71" s="4440">
        <f>S70/'Weighting and Rates PFF'!H14</f>
        <v>0</v>
      </c>
      <c r="T71" s="4441"/>
      <c r="U71" s="4442"/>
      <c r="V71" s="4473">
        <f>V70/'Weighting and Rates PFF'!H14</f>
        <v>0.25001026837936213</v>
      </c>
      <c r="W71" s="4474"/>
      <c r="X71" s="3420">
        <f>X70/'Weighting and Rates PFF'!H14</f>
        <v>4.9912378385003342E-2</v>
      </c>
      <c r="Y71" s="3421">
        <f>Y70/'Weighting and Rates PFF'!H14</f>
        <v>0.999946453681403</v>
      </c>
    </row>
    <row r="73" spans="1:34">
      <c r="A73" s="3305" t="s">
        <v>287</v>
      </c>
    </row>
    <row r="74" spans="1:34" hidden="1"/>
    <row r="75" spans="1:34" s="3422" customFormat="1" ht="10.199999999999999" hidden="1">
      <c r="B75" s="3422" t="s">
        <v>295</v>
      </c>
      <c r="C75" s="3423" t="str">
        <f>IF(C$68='Overall Degree Completion PMS I'!$T7,"GOOD","BAD")</f>
        <v>BAD</v>
      </c>
      <c r="D75" s="3423" t="str">
        <f>IF(D$68='Overall Degree Completion PMS I'!$T9,"GOOD","BAD")</f>
        <v>BAD</v>
      </c>
      <c r="E75" s="3423" t="str">
        <f>IF(E$68='Overall Degree Completion PMS I'!$T11,"GOOD","BAD")</f>
        <v>BAD</v>
      </c>
      <c r="F75" s="3423" t="str">
        <f>IF(F$68='Overall Degree Completion PMS I'!$T13,"GOOD","BAD")</f>
        <v>BAD</v>
      </c>
      <c r="G75" s="3423" t="str">
        <f>IF(G$68='Overall Degree Completion PMS I'!$T15,"GOOD","BAD")</f>
        <v>BAD</v>
      </c>
      <c r="H75" s="3423" t="str">
        <f>IF(H68='At-Risk Student Degree PMS II'!R7,"GOOD","BAD")</f>
        <v>BAD</v>
      </c>
      <c r="I75" s="3423" t="str">
        <f>IF(I68='At-Risk Student Degree PMS II'!R9,"GOOD","BAD")</f>
        <v>GOOD</v>
      </c>
      <c r="J75" s="3423" t="str">
        <f>IF(J68='At-Risk Student Degree PMS II'!R11,"GOOD","BAD")</f>
        <v>GOOD</v>
      </c>
      <c r="K75" s="3424" t="str">
        <f>IF(K68='High Impact Degree PMS III'!$T7,"GOOD","BAD")</f>
        <v>BAD</v>
      </c>
      <c r="L75" s="3424" t="str">
        <f>IF(L68='High Impact Degree PMS III'!$T9,"GOOD","BAD")</f>
        <v>BAD</v>
      </c>
      <c r="M75" s="3424" t="str">
        <f>IF(M68='High Impact Degree PMS III'!$T11,"GOOD","BAD")</f>
        <v>BAD</v>
      </c>
      <c r="N75" s="3424" t="str">
        <f>IF(N68='Student Persistence PMS IV'!$T8,"GOOD","BAD")</f>
        <v>BAD</v>
      </c>
      <c r="O75" s="3424" t="str">
        <f>IF(O68='Student Persistence PMS IV'!$V9,"GOOD","BAD")</f>
        <v>BAD</v>
      </c>
      <c r="P75" s="3424"/>
      <c r="Q75" s="3424" t="str">
        <f>IF(Q68='Student Persistence PMS IV'!$T10,"GOOD","BAD")</f>
        <v>BAD</v>
      </c>
      <c r="R75" s="3424" t="str">
        <f>IF(R68='Student Persistence PMS IV'!$T14,"GOOD","BAD")</f>
        <v>BAD</v>
      </c>
      <c r="S75" s="3424" t="str">
        <f>IF(S68='Remediation Success PMS V'!$T11,"GOOD","BAD")</f>
        <v>GOOD</v>
      </c>
      <c r="T75" s="3424" t="str">
        <f>IF(T68='Remediation Success PMS V'!$T19,"GOOD","BAD")</f>
        <v>GOOD</v>
      </c>
      <c r="U75" s="3424" t="str">
        <f>IF(U68='Remediation Success PMS V'!$T27,"GOOD","BAD")</f>
        <v>GOOD</v>
      </c>
      <c r="Y75" s="3425"/>
      <c r="AA75" s="3801"/>
      <c r="AB75" s="3801"/>
      <c r="AC75" s="3801"/>
      <c r="AD75" s="3801"/>
      <c r="AE75" s="3801"/>
      <c r="AF75" s="3801"/>
      <c r="AG75" s="3801"/>
      <c r="AH75" s="3801"/>
    </row>
  </sheetData>
  <mergeCells count="18">
    <mergeCell ref="B5:B6"/>
    <mergeCell ref="C5:G5"/>
    <mergeCell ref="H5:J5"/>
    <mergeCell ref="K5:M5"/>
    <mergeCell ref="N5:R5"/>
    <mergeCell ref="V5:W5"/>
    <mergeCell ref="C70:G70"/>
    <mergeCell ref="H70:J70"/>
    <mergeCell ref="K70:M70"/>
    <mergeCell ref="N70:R70"/>
    <mergeCell ref="S70:U70"/>
    <mergeCell ref="V70:W70"/>
    <mergeCell ref="S5:U5"/>
    <mergeCell ref="C71:G71"/>
    <mergeCell ref="H71:J71"/>
    <mergeCell ref="O71:Q71"/>
    <mergeCell ref="S71:U71"/>
    <mergeCell ref="V71:W71"/>
  </mergeCells>
  <pageMargins left="0.7" right="0.7" top="0.75" bottom="0.75" header="0.3" footer="0.3"/>
  <pageSetup paperSize="17" scale="68" orientation="landscape" r:id="rId1"/>
  <headerFooter>
    <oddFooter>&amp;LHouse Ways and Means Cmte Amendment 1001 2-14-13&amp;R&amp;D</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84"/>
  <sheetViews>
    <sheetView zoomScale="70" zoomScaleNormal="70" workbookViewId="0">
      <selection activeCell="B3" sqref="B3"/>
    </sheetView>
  </sheetViews>
  <sheetFormatPr defaultColWidth="9.109375" defaultRowHeight="13.8"/>
  <cols>
    <col min="1" max="1" width="2" style="3265" customWidth="1"/>
    <col min="2" max="2" width="39.5546875" style="3265" customWidth="1"/>
    <col min="3" max="3" width="14.5546875" style="3295" bestFit="1" customWidth="1"/>
    <col min="4" max="4" width="15.109375" style="3427" customWidth="1"/>
    <col min="5" max="5" width="17.109375" style="3265" customWidth="1"/>
    <col min="6" max="6" width="17.44140625" style="3265" customWidth="1"/>
    <col min="7" max="7" width="35.88671875" style="3265" customWidth="1"/>
    <col min="8" max="8" width="15.6640625" style="3265" customWidth="1"/>
    <col min="9" max="9" width="14.5546875" style="3265" customWidth="1"/>
    <col min="10" max="10" width="19.6640625" style="3265" customWidth="1"/>
    <col min="11" max="11" width="15.44140625" style="3265" customWidth="1"/>
    <col min="12" max="12" width="9.109375" style="3265"/>
    <col min="13" max="13" width="13.5546875" style="3265" customWidth="1"/>
    <col min="14" max="14" width="9.109375" style="3265"/>
    <col min="15" max="15" width="5.88671875" style="3265" bestFit="1" customWidth="1"/>
    <col min="16" max="16" width="10.109375" style="3265" bestFit="1" customWidth="1"/>
    <col min="17" max="16384" width="9.109375" style="3265"/>
  </cols>
  <sheetData>
    <row r="1" spans="1:11" ht="15.6">
      <c r="A1" s="3299" t="s">
        <v>358</v>
      </c>
    </row>
    <row r="2" spans="1:11" ht="15.6">
      <c r="A2" s="3299" t="s">
        <v>363</v>
      </c>
    </row>
    <row r="3" spans="1:11" ht="15.6">
      <c r="A3" s="3766"/>
      <c r="B3" s="4417" t="s">
        <v>970</v>
      </c>
      <c r="C3" s="3300"/>
      <c r="D3" s="3520"/>
      <c r="E3" s="3520"/>
      <c r="G3" s="3522"/>
      <c r="H3" s="3522"/>
      <c r="I3" s="3522"/>
      <c r="J3" s="3522"/>
    </row>
    <row r="4" spans="1:11" s="3522" customFormat="1" ht="14.4" thickBot="1">
      <c r="C4" s="3523"/>
      <c r="D4" s="3524"/>
    </row>
    <row r="5" spans="1:11">
      <c r="B5" s="3428"/>
      <c r="C5" s="3429" t="s">
        <v>345</v>
      </c>
      <c r="D5" s="3430" t="s">
        <v>342</v>
      </c>
      <c r="E5" s="3431" t="s">
        <v>330</v>
      </c>
    </row>
    <row r="6" spans="1:11">
      <c r="B6" s="3432" t="s">
        <v>346</v>
      </c>
      <c r="C6" s="3433">
        <f>1215309286-98042060-1603670-1475274-2095829-1870823-1682175-1560016-1859876+4475501</f>
        <v>1109595064</v>
      </c>
      <c r="D6" s="3434">
        <f>C6*G6</f>
        <v>0</v>
      </c>
      <c r="E6" s="3435"/>
      <c r="G6" s="3436">
        <v>0</v>
      </c>
      <c r="H6" s="3437" t="s">
        <v>343</v>
      </c>
      <c r="I6" s="3438"/>
    </row>
    <row r="7" spans="1:11">
      <c r="B7" s="3432"/>
      <c r="C7" s="3363"/>
      <c r="D7" s="3439"/>
      <c r="E7" s="3274"/>
    </row>
    <row r="8" spans="1:11">
      <c r="B8" s="3432" t="s">
        <v>941</v>
      </c>
      <c r="C8" s="4418">
        <f>C6*E8</f>
        <v>66575703.839999996</v>
      </c>
      <c r="D8" s="3439">
        <f>C8+D6</f>
        <v>66575703.839999996</v>
      </c>
      <c r="E8" s="3289">
        <v>0.06</v>
      </c>
    </row>
    <row r="9" spans="1:11">
      <c r="B9" s="3432"/>
      <c r="C9" s="3363"/>
      <c r="D9" s="3439"/>
      <c r="E9" s="3274"/>
    </row>
    <row r="10" spans="1:11">
      <c r="B10" s="3432" t="s">
        <v>942</v>
      </c>
      <c r="C10" s="4418">
        <f>C6*E10</f>
        <v>66575703.839999996</v>
      </c>
      <c r="D10" s="3439">
        <f>C10+D6</f>
        <v>66575703.839999996</v>
      </c>
      <c r="E10" s="3289">
        <v>0.06</v>
      </c>
    </row>
    <row r="11" spans="1:11">
      <c r="B11" s="3440"/>
      <c r="C11" s="3363"/>
      <c r="D11" s="3439"/>
      <c r="E11" s="3274"/>
    </row>
    <row r="12" spans="1:11" ht="14.4" thickBot="1">
      <c r="B12" s="3441" t="s">
        <v>443</v>
      </c>
      <c r="C12" s="3442"/>
      <c r="D12" s="3443"/>
      <c r="E12" s="3444"/>
    </row>
    <row r="13" spans="1:11" ht="14.4" thickBot="1"/>
    <row r="14" spans="1:11">
      <c r="B14" s="3445" t="s">
        <v>309</v>
      </c>
      <c r="C14" s="3446">
        <f>D8</f>
        <v>66575703.839999996</v>
      </c>
      <c r="D14" s="3446" t="s">
        <v>340</v>
      </c>
      <c r="E14" s="3447" t="s">
        <v>344</v>
      </c>
      <c r="G14" s="3445" t="s">
        <v>314</v>
      </c>
      <c r="H14" s="3448">
        <f>D10</f>
        <v>66575703.839999996</v>
      </c>
      <c r="I14" s="3446" t="s">
        <v>340</v>
      </c>
      <c r="J14" s="3447" t="s">
        <v>344</v>
      </c>
    </row>
    <row r="15" spans="1:11">
      <c r="B15" s="3440"/>
      <c r="C15" s="3363"/>
      <c r="D15" s="3439"/>
      <c r="E15" s="3274"/>
      <c r="G15" s="3440"/>
      <c r="H15" s="3273"/>
      <c r="I15" s="3273"/>
      <c r="J15" s="3274"/>
    </row>
    <row r="16" spans="1:11">
      <c r="B16" s="3440" t="s">
        <v>348</v>
      </c>
      <c r="C16" s="3439">
        <f>E16*$C$14</f>
        <v>19972711.151999999</v>
      </c>
      <c r="D16" s="3439">
        <f>SUM('Summary of PFF Metrics 2014'!C70:G70)</f>
        <v>19971439.583333332</v>
      </c>
      <c r="E16" s="3289">
        <v>0.3</v>
      </c>
      <c r="F16" s="3753"/>
      <c r="G16" s="3440" t="s">
        <v>348</v>
      </c>
      <c r="H16" s="3439">
        <f>J16*$H$14</f>
        <v>19972711.151999999</v>
      </c>
      <c r="I16" s="3439">
        <f>SUM('Summary of PFF Metrics 2015'!C70:G70)</f>
        <v>19971439.583333332</v>
      </c>
      <c r="J16" s="3289">
        <v>0.3</v>
      </c>
      <c r="K16" s="3449"/>
    </row>
    <row r="17" spans="1:16">
      <c r="B17" s="3440" t="s">
        <v>349</v>
      </c>
      <c r="C17" s="3439">
        <f t="shared" ref="C17:C24" si="0">E17*$C$14</f>
        <v>9986355.5759999994</v>
      </c>
      <c r="D17" s="3439">
        <f>SUM('Summary of PFF Metrics 2014'!H70:J70)</f>
        <v>9992709.2563666664</v>
      </c>
      <c r="E17" s="3289">
        <v>0.15</v>
      </c>
      <c r="F17" s="3753"/>
      <c r="G17" s="3440" t="s">
        <v>349</v>
      </c>
      <c r="H17" s="3439">
        <f>J17*$H$14</f>
        <v>9986355.5759999994</v>
      </c>
      <c r="I17" s="3439">
        <f>SUM('Summary of PFF Metrics 2015'!H70:J70)</f>
        <v>9992709.2563666664</v>
      </c>
      <c r="J17" s="3289">
        <v>0.15</v>
      </c>
    </row>
    <row r="18" spans="1:16">
      <c r="B18" s="3440" t="s">
        <v>350</v>
      </c>
      <c r="C18" s="3439">
        <f t="shared" si="0"/>
        <v>6657570.3839999996</v>
      </c>
      <c r="D18" s="3439">
        <f>SUM('Summary of PFF Metrics 2014'!K70:M70)</f>
        <v>6655593.1574999988</v>
      </c>
      <c r="E18" s="3289">
        <v>0.1</v>
      </c>
      <c r="F18" s="3753"/>
      <c r="G18" s="3440" t="s">
        <v>350</v>
      </c>
      <c r="H18" s="3439">
        <f>J18*$H$14</f>
        <v>6657570.3839999996</v>
      </c>
      <c r="I18" s="3439">
        <f>SUM('Summary of PFF Metrics 2015'!K70:M70)</f>
        <v>6655593.1574999988</v>
      </c>
      <c r="J18" s="3289">
        <v>0.1</v>
      </c>
    </row>
    <row r="19" spans="1:16">
      <c r="B19" s="3440"/>
      <c r="C19" s="3439"/>
      <c r="D19" s="3439"/>
      <c r="E19" s="3289"/>
      <c r="F19" s="3753"/>
      <c r="G19" s="3440"/>
      <c r="H19" s="3439"/>
      <c r="I19" s="3439"/>
      <c r="J19" s="3289"/>
    </row>
    <row r="20" spans="1:16">
      <c r="B20" s="3440" t="s">
        <v>312</v>
      </c>
      <c r="C20" s="3439">
        <f t="shared" si="0"/>
        <v>9986355.5759999994</v>
      </c>
      <c r="D20" s="3439">
        <f>SUM('Summary of PFF Metrics 2014'!N70:R70)</f>
        <v>9984835.6530580372</v>
      </c>
      <c r="E20" s="3289">
        <v>0.15</v>
      </c>
      <c r="F20" s="3753"/>
      <c r="G20" s="3440" t="s">
        <v>312</v>
      </c>
      <c r="H20" s="3439">
        <f>J20*$H$14</f>
        <v>9986355.5759999994</v>
      </c>
      <c r="I20" s="3439">
        <f>SUM('Summary of PFF Metrics 2015'!N70:R70)</f>
        <v>9984835.6530580372</v>
      </c>
      <c r="J20" s="3289">
        <v>0.15</v>
      </c>
    </row>
    <row r="21" spans="1:16">
      <c r="B21" s="3440" t="s">
        <v>313</v>
      </c>
      <c r="C21" s="3439">
        <f t="shared" si="0"/>
        <v>0</v>
      </c>
      <c r="D21" s="3439">
        <f>SUM('Summary of PFF Metrics 2014'!S70:U70)</f>
        <v>0</v>
      </c>
      <c r="E21" s="3289">
        <v>0</v>
      </c>
      <c r="F21" s="3753"/>
      <c r="G21" s="3440" t="s">
        <v>313</v>
      </c>
      <c r="H21" s="3439">
        <f>J21*$H$14</f>
        <v>0</v>
      </c>
      <c r="I21" s="3439">
        <f>SUM('Summary of PFF Metrics 2015'!S70:U70)</f>
        <v>0</v>
      </c>
      <c r="J21" s="3289">
        <v>0</v>
      </c>
    </row>
    <row r="22" spans="1:16">
      <c r="B22" s="3440"/>
      <c r="C22" s="3439"/>
      <c r="D22" s="3439"/>
      <c r="E22" s="3289"/>
      <c r="F22" s="3753"/>
      <c r="G22" s="3440"/>
      <c r="H22" s="3439"/>
      <c r="I22" s="3439"/>
      <c r="J22" s="3289"/>
    </row>
    <row r="23" spans="1:16">
      <c r="B23" s="3440" t="s">
        <v>351</v>
      </c>
      <c r="C23" s="3439">
        <f t="shared" si="0"/>
        <v>16643925.959999999</v>
      </c>
      <c r="D23" s="3439">
        <f>SUM('Summary of PFF Metrics 2014'!V70:W70)</f>
        <v>16644609.584583331</v>
      </c>
      <c r="E23" s="3289">
        <v>0.25</v>
      </c>
      <c r="F23" s="3753"/>
      <c r="G23" s="3440" t="s">
        <v>351</v>
      </c>
      <c r="H23" s="3439">
        <f>J23*$H$14</f>
        <v>16643925.959999999</v>
      </c>
      <c r="I23" s="3439">
        <f>SUM('Summary of PFF Metrics 2015'!V70:W70)</f>
        <v>16644609.584583331</v>
      </c>
      <c r="J23" s="3289">
        <v>0.25</v>
      </c>
    </row>
    <row r="24" spans="1:16" ht="14.4" thickBot="1">
      <c r="B24" s="3450" t="s">
        <v>347</v>
      </c>
      <c r="C24" s="3451">
        <f t="shared" si="0"/>
        <v>3328785.1919999998</v>
      </c>
      <c r="D24" s="3451">
        <f>'Summary of PFF Metrics 2014'!X70</f>
        <v>3322951.7213099999</v>
      </c>
      <c r="E24" s="3452">
        <v>0.05</v>
      </c>
      <c r="F24" s="3753"/>
      <c r="G24" s="3450" t="s">
        <v>347</v>
      </c>
      <c r="H24" s="3451">
        <f>J24*$H$14</f>
        <v>3328785.1919999998</v>
      </c>
      <c r="I24" s="3451">
        <f>SUM('Summary of PFF Metrics 2015'!X70)</f>
        <v>3322951.7213099999</v>
      </c>
      <c r="J24" s="3452">
        <v>0.05</v>
      </c>
    </row>
    <row r="25" spans="1:16" ht="14.4" thickTop="1">
      <c r="B25" s="3440"/>
      <c r="C25" s="3453">
        <f>SUM(C16:C24)</f>
        <v>66575703.840000004</v>
      </c>
      <c r="D25" s="3453">
        <f>SUM(D16:D24)</f>
        <v>66572138.956151359</v>
      </c>
      <c r="E25" s="3454">
        <f>SUM(E16:E24)</f>
        <v>1</v>
      </c>
      <c r="F25" s="3754"/>
      <c r="G25" s="3440"/>
      <c r="H25" s="3453">
        <f>SUM(H16:H24)</f>
        <v>66575703.840000004</v>
      </c>
      <c r="I25" s="3453">
        <f>SUM(I16:I24)</f>
        <v>66572138.956151359</v>
      </c>
      <c r="J25" s="3454">
        <f>SUM(J16:J24)</f>
        <v>1</v>
      </c>
    </row>
    <row r="26" spans="1:16">
      <c r="B26" s="3440"/>
      <c r="C26" s="3363"/>
      <c r="D26" s="3439">
        <f>D25-C25</f>
        <v>-3564.883848644793</v>
      </c>
      <c r="E26" s="3455" t="s">
        <v>353</v>
      </c>
      <c r="F26" s="3427"/>
      <c r="G26" s="3456"/>
      <c r="H26" s="3439"/>
      <c r="I26" s="3457">
        <f>I25-H25</f>
        <v>-3564.883848644793</v>
      </c>
      <c r="J26" s="3455" t="s">
        <v>353</v>
      </c>
    </row>
    <row r="27" spans="1:16" ht="14.4" thickBot="1">
      <c r="B27" s="3458"/>
      <c r="C27" s="3459">
        <f>(D8-C8)/C8</f>
        <v>0</v>
      </c>
      <c r="D27" s="3460" t="s">
        <v>352</v>
      </c>
      <c r="E27" s="3444"/>
      <c r="G27" s="3458"/>
      <c r="H27" s="3461">
        <f>(H25-C25)/C25</f>
        <v>0</v>
      </c>
      <c r="I27" s="3291" t="s">
        <v>341</v>
      </c>
      <c r="J27" s="3444"/>
    </row>
    <row r="28" spans="1:16" ht="14.4" thickBot="1"/>
    <row r="29" spans="1:16">
      <c r="B29" s="3462" t="s">
        <v>364</v>
      </c>
      <c r="C29" s="3463"/>
      <c r="D29" s="3464"/>
      <c r="E29" s="3271"/>
      <c r="F29" s="3272"/>
      <c r="G29" s="3465" t="s">
        <v>364</v>
      </c>
      <c r="H29" s="3271"/>
      <c r="I29" s="3271"/>
      <c r="J29" s="3271"/>
      <c r="K29" s="3272"/>
    </row>
    <row r="30" spans="1:16">
      <c r="B30" s="3466" t="s">
        <v>282</v>
      </c>
      <c r="C30" s="3434">
        <f>C31/2</f>
        <v>1948.75</v>
      </c>
      <c r="D30" s="3885">
        <f>C30/C31</f>
        <v>0.5</v>
      </c>
      <c r="E30" s="3273" t="s">
        <v>470</v>
      </c>
      <c r="F30" s="3274"/>
      <c r="G30" s="3466" t="s">
        <v>282</v>
      </c>
      <c r="H30" s="3434">
        <f>C30*(1+$H$27)</f>
        <v>1948.75</v>
      </c>
      <c r="I30" s="3434"/>
      <c r="J30" s="3273"/>
      <c r="K30" s="3467"/>
      <c r="M30" s="3468"/>
      <c r="N30" s="3263"/>
      <c r="O30" s="3469"/>
      <c r="P30" s="3470"/>
    </row>
    <row r="31" spans="1:16">
      <c r="A31" s="3471"/>
      <c r="B31" s="3466" t="s">
        <v>283</v>
      </c>
      <c r="C31" s="3434">
        <f>C32/2</f>
        <v>3897.5</v>
      </c>
      <c r="D31" s="3885">
        <f>C31/C32</f>
        <v>0.5</v>
      </c>
      <c r="E31" s="3273" t="s">
        <v>471</v>
      </c>
      <c r="F31" s="3274"/>
      <c r="G31" s="3466" t="s">
        <v>283</v>
      </c>
      <c r="H31" s="3434">
        <f>C31*(1+$H$27)</f>
        <v>3897.5</v>
      </c>
      <c r="I31" s="3434"/>
      <c r="J31" s="3273"/>
      <c r="K31" s="3467"/>
      <c r="M31" s="3468"/>
      <c r="N31" s="3263"/>
      <c r="O31" s="3469"/>
      <c r="P31" s="3470"/>
    </row>
    <row r="32" spans="1:16">
      <c r="B32" s="3466" t="s">
        <v>284</v>
      </c>
      <c r="C32" s="3434">
        <v>7795</v>
      </c>
      <c r="D32" s="3885">
        <f>C32/C32</f>
        <v>1</v>
      </c>
      <c r="E32" s="3273"/>
      <c r="F32" s="3274"/>
      <c r="G32" s="3466" t="s">
        <v>284</v>
      </c>
      <c r="H32" s="3434">
        <f>C32*(1+$H$27)</f>
        <v>7795</v>
      </c>
      <c r="I32" s="3434"/>
      <c r="J32" s="3273"/>
      <c r="K32" s="3467"/>
      <c r="M32" s="3468"/>
      <c r="N32" s="3263"/>
      <c r="O32" s="3469"/>
      <c r="P32" s="3470"/>
    </row>
    <row r="33" spans="2:16">
      <c r="B33" s="3466" t="s">
        <v>285</v>
      </c>
      <c r="C33" s="3434">
        <f>C32/2</f>
        <v>3897.5</v>
      </c>
      <c r="D33" s="3885">
        <f>C33/C32</f>
        <v>0.5</v>
      </c>
      <c r="E33" s="3273" t="s">
        <v>471</v>
      </c>
      <c r="F33" s="3274"/>
      <c r="G33" s="3466" t="s">
        <v>285</v>
      </c>
      <c r="H33" s="3434">
        <f>C33*(1+$H$27)</f>
        <v>3897.5</v>
      </c>
      <c r="I33" s="3434"/>
      <c r="J33" s="3273"/>
      <c r="K33" s="3467"/>
      <c r="M33" s="3468"/>
      <c r="N33" s="3263"/>
      <c r="O33" s="3469"/>
      <c r="P33" s="3470"/>
    </row>
    <row r="34" spans="2:16">
      <c r="B34" s="3466" t="s">
        <v>286</v>
      </c>
      <c r="C34" s="3434">
        <f>C33/2</f>
        <v>1948.75</v>
      </c>
      <c r="D34" s="3885">
        <f>C34/C33</f>
        <v>0.5</v>
      </c>
      <c r="E34" s="3273" t="s">
        <v>472</v>
      </c>
      <c r="F34" s="3274"/>
      <c r="G34" s="3466" t="s">
        <v>286</v>
      </c>
      <c r="H34" s="3434">
        <f>C34*(1+$H$27)</f>
        <v>1948.75</v>
      </c>
      <c r="I34" s="3434"/>
      <c r="J34" s="3273"/>
      <c r="K34" s="3467"/>
      <c r="M34" s="3472"/>
      <c r="N34" s="3473"/>
      <c r="O34" s="3474"/>
      <c r="P34" s="3470"/>
    </row>
    <row r="35" spans="2:16">
      <c r="B35" s="3475" t="s">
        <v>310</v>
      </c>
      <c r="C35" s="3363"/>
      <c r="D35" s="3886"/>
      <c r="E35" s="3273"/>
      <c r="F35" s="3274"/>
      <c r="G35" s="3476" t="s">
        <v>310</v>
      </c>
      <c r="H35" s="3363"/>
      <c r="I35" s="3363"/>
      <c r="J35" s="3273"/>
      <c r="K35" s="3274"/>
    </row>
    <row r="36" spans="2:16">
      <c r="B36" s="3466" t="s">
        <v>282</v>
      </c>
      <c r="C36" s="3434">
        <f>C30*D36</f>
        <v>1375.8174999999999</v>
      </c>
      <c r="D36" s="3477">
        <v>0.70599999999999996</v>
      </c>
      <c r="E36" s="3273" t="s">
        <v>322</v>
      </c>
      <c r="F36" s="3274"/>
      <c r="G36" s="3466" t="s">
        <v>282</v>
      </c>
      <c r="H36" s="3434">
        <f>C36*(1+$H$27)</f>
        <v>1375.8174999999999</v>
      </c>
      <c r="I36" s="3477">
        <v>0.70599999999999996</v>
      </c>
      <c r="J36" s="3273" t="s">
        <v>322</v>
      </c>
      <c r="K36" s="3274"/>
    </row>
    <row r="37" spans="2:16">
      <c r="B37" s="3466" t="s">
        <v>283</v>
      </c>
      <c r="C37" s="3434">
        <f>C31*D37</f>
        <v>2751.6349999999998</v>
      </c>
      <c r="D37" s="3477">
        <v>0.70599999999999996</v>
      </c>
      <c r="E37" s="3273" t="s">
        <v>322</v>
      </c>
      <c r="F37" s="3274"/>
      <c r="G37" s="3466" t="s">
        <v>283</v>
      </c>
      <c r="H37" s="3434">
        <f>C37*(1+$H$27)</f>
        <v>2751.6349999999998</v>
      </c>
      <c r="I37" s="3477">
        <v>0.70599999999999996</v>
      </c>
      <c r="J37" s="3273" t="s">
        <v>322</v>
      </c>
      <c r="K37" s="3274"/>
    </row>
    <row r="38" spans="2:16">
      <c r="B38" s="3466" t="s">
        <v>284</v>
      </c>
      <c r="C38" s="3434">
        <f>C32*D38</f>
        <v>5503.2699999999995</v>
      </c>
      <c r="D38" s="3477">
        <v>0.70599999999999996</v>
      </c>
      <c r="E38" s="3273" t="s">
        <v>322</v>
      </c>
      <c r="F38" s="3274"/>
      <c r="G38" s="3466" t="s">
        <v>284</v>
      </c>
      <c r="H38" s="3434">
        <f>C38*(1+$H$27)</f>
        <v>5503.2699999999995</v>
      </c>
      <c r="I38" s="3477">
        <v>0.70599999999999996</v>
      </c>
      <c r="J38" s="3273" t="s">
        <v>322</v>
      </c>
      <c r="K38" s="3274"/>
    </row>
    <row r="39" spans="2:16">
      <c r="B39" s="3475" t="s">
        <v>311</v>
      </c>
      <c r="C39" s="3363"/>
      <c r="D39" s="3477"/>
      <c r="E39" s="3273"/>
      <c r="F39" s="3274"/>
      <c r="G39" s="3476" t="s">
        <v>311</v>
      </c>
      <c r="H39" s="3363"/>
      <c r="I39" s="3477"/>
      <c r="J39" s="3273"/>
      <c r="K39" s="3274"/>
    </row>
    <row r="40" spans="2:16">
      <c r="B40" s="3466" t="s">
        <v>284</v>
      </c>
      <c r="C40" s="3434">
        <f>C32*D40</f>
        <v>19491.397500000003</v>
      </c>
      <c r="D40" s="3477">
        <v>2.5005000000000002</v>
      </c>
      <c r="E40" s="3273" t="s">
        <v>322</v>
      </c>
      <c r="F40" s="3274"/>
      <c r="G40" s="3466" t="s">
        <v>284</v>
      </c>
      <c r="H40" s="3434">
        <f>C40*(1+$H$27)</f>
        <v>19491.397500000003</v>
      </c>
      <c r="I40" s="3477">
        <v>2.5005000000000002</v>
      </c>
      <c r="J40" s="3273" t="s">
        <v>322</v>
      </c>
      <c r="K40" s="3274"/>
    </row>
    <row r="41" spans="2:16">
      <c r="B41" s="3466" t="s">
        <v>285</v>
      </c>
      <c r="C41" s="3434">
        <f>C33*D41</f>
        <v>14032.94875</v>
      </c>
      <c r="D41" s="3477">
        <v>3.6004999999999998</v>
      </c>
      <c r="E41" s="3273" t="s">
        <v>322</v>
      </c>
      <c r="F41" s="3274"/>
      <c r="G41" s="3466" t="s">
        <v>285</v>
      </c>
      <c r="H41" s="3434">
        <f>C41*(1+$H$27)</f>
        <v>14032.94875</v>
      </c>
      <c r="I41" s="3477">
        <v>3.6004999999999998</v>
      </c>
      <c r="J41" s="3273" t="s">
        <v>322</v>
      </c>
      <c r="K41" s="3274"/>
    </row>
    <row r="42" spans="2:16">
      <c r="B42" s="3466" t="s">
        <v>286</v>
      </c>
      <c r="C42" s="3434">
        <f>C34*D42</f>
        <v>6821.5993750000007</v>
      </c>
      <c r="D42" s="3477">
        <v>3.5005000000000002</v>
      </c>
      <c r="E42" s="3273" t="s">
        <v>322</v>
      </c>
      <c r="F42" s="3274"/>
      <c r="G42" s="3466" t="s">
        <v>286</v>
      </c>
      <c r="H42" s="3434">
        <f>C42*(1+$H$27)</f>
        <v>6821.5993750000007</v>
      </c>
      <c r="I42" s="3477">
        <v>3.5005000000000002</v>
      </c>
      <c r="J42" s="3273" t="s">
        <v>322</v>
      </c>
      <c r="K42" s="3274"/>
    </row>
    <row r="43" spans="2:16">
      <c r="B43" s="3478" t="s">
        <v>315</v>
      </c>
      <c r="C43" s="3363"/>
      <c r="D43" s="3439"/>
      <c r="E43" s="3273"/>
      <c r="F43" s="3274"/>
      <c r="G43" s="3476" t="s">
        <v>315</v>
      </c>
      <c r="H43" s="3363"/>
      <c r="I43" s="3439"/>
      <c r="J43" s="3273"/>
      <c r="K43" s="3274"/>
    </row>
    <row r="44" spans="2:16">
      <c r="B44" s="3466" t="s">
        <v>293</v>
      </c>
      <c r="C44" s="3439">
        <v>305</v>
      </c>
      <c r="D44" s="3439"/>
      <c r="E44" s="3439"/>
      <c r="F44" s="3274"/>
      <c r="G44" s="3466" t="s">
        <v>293</v>
      </c>
      <c r="H44" s="3439">
        <f>C44*(1+$H$27)</f>
        <v>305</v>
      </c>
      <c r="I44" s="3439"/>
      <c r="J44" s="3273"/>
      <c r="K44" s="3274"/>
    </row>
    <row r="45" spans="2:16">
      <c r="B45" s="3466" t="s">
        <v>333</v>
      </c>
      <c r="C45" s="3439">
        <v>600</v>
      </c>
      <c r="D45" s="3439"/>
      <c r="E45" s="3439"/>
      <c r="F45" s="3274"/>
      <c r="G45" s="3466" t="s">
        <v>333</v>
      </c>
      <c r="H45" s="3439">
        <f>C45*(1+$H$27)</f>
        <v>600</v>
      </c>
      <c r="I45" s="3439"/>
      <c r="J45" s="3273"/>
      <c r="K45" s="3274"/>
    </row>
    <row r="46" spans="2:16">
      <c r="B46" s="3466" t="s">
        <v>334</v>
      </c>
      <c r="C46" s="3439">
        <v>765</v>
      </c>
      <c r="D46" s="3439"/>
      <c r="E46" s="3439"/>
      <c r="F46" s="3274"/>
      <c r="G46" s="3466" t="s">
        <v>334</v>
      </c>
      <c r="H46" s="3439">
        <f>C46*(1+$H$27)</f>
        <v>765</v>
      </c>
      <c r="I46" s="3439"/>
      <c r="J46" s="3273"/>
      <c r="K46" s="3274"/>
    </row>
    <row r="47" spans="2:16">
      <c r="B47" s="3466" t="s">
        <v>294</v>
      </c>
      <c r="C47" s="3439">
        <v>1210</v>
      </c>
      <c r="D47" s="3439"/>
      <c r="E47" s="3439"/>
      <c r="F47" s="3274"/>
      <c r="G47" s="3466" t="s">
        <v>294</v>
      </c>
      <c r="H47" s="3439">
        <f>C47*(1+$H$27)</f>
        <v>1210</v>
      </c>
      <c r="I47" s="3439"/>
      <c r="J47" s="3273"/>
      <c r="K47" s="3274"/>
    </row>
    <row r="48" spans="2:16">
      <c r="B48" s="3466" t="s">
        <v>323</v>
      </c>
      <c r="C48" s="3439">
        <v>1530</v>
      </c>
      <c r="D48" s="3439"/>
      <c r="E48" s="3439"/>
      <c r="F48" s="3274"/>
      <c r="G48" s="3466" t="s">
        <v>323</v>
      </c>
      <c r="H48" s="3439">
        <f>C48*(1+$H$27)</f>
        <v>1530</v>
      </c>
      <c r="I48" s="3439"/>
      <c r="J48" s="3273"/>
      <c r="K48" s="3274"/>
    </row>
    <row r="49" spans="2:16">
      <c r="B49" s="3478" t="s">
        <v>313</v>
      </c>
      <c r="C49" s="3363"/>
      <c r="D49" s="3439"/>
      <c r="E49" s="3273"/>
      <c r="F49" s="3274"/>
      <c r="G49" s="3476" t="s">
        <v>313</v>
      </c>
      <c r="H49" s="3363"/>
      <c r="I49" s="3439"/>
      <c r="J49" s="3273"/>
      <c r="K49" s="3274"/>
    </row>
    <row r="50" spans="2:16">
      <c r="B50" s="3466" t="s">
        <v>297</v>
      </c>
      <c r="C50" s="3434">
        <f>1250*(1+C27)</f>
        <v>1250</v>
      </c>
      <c r="D50" s="3434"/>
      <c r="E50" s="3273"/>
      <c r="F50" s="3274"/>
      <c r="G50" s="3466" t="s">
        <v>297</v>
      </c>
      <c r="H50" s="3434">
        <f>C50*(1+$H$27)</f>
        <v>1250</v>
      </c>
      <c r="I50" s="3434"/>
      <c r="J50" s="3273"/>
      <c r="K50" s="3274"/>
    </row>
    <row r="51" spans="2:16">
      <c r="B51" s="3466" t="s">
        <v>298</v>
      </c>
      <c r="C51" s="3434">
        <f>1250*(1+C27)</f>
        <v>1250</v>
      </c>
      <c r="D51" s="3434"/>
      <c r="E51" s="3273"/>
      <c r="F51" s="3274"/>
      <c r="G51" s="3466" t="s">
        <v>298</v>
      </c>
      <c r="H51" s="3434">
        <f>C51*(1+$H$27)</f>
        <v>1250</v>
      </c>
      <c r="I51" s="3434"/>
      <c r="J51" s="3273"/>
      <c r="K51" s="3274"/>
    </row>
    <row r="52" spans="2:16">
      <c r="B52" s="3466" t="s">
        <v>299</v>
      </c>
      <c r="C52" s="3434">
        <f>2500*(1+C27)</f>
        <v>2500</v>
      </c>
      <c r="D52" s="3434"/>
      <c r="E52" s="3273"/>
      <c r="F52" s="3274"/>
      <c r="G52" s="3466" t="s">
        <v>299</v>
      </c>
      <c r="H52" s="3434">
        <f>C52*(1+$H$27)</f>
        <v>2500</v>
      </c>
      <c r="I52" s="3434"/>
      <c r="J52" s="3273"/>
      <c r="K52" s="3274"/>
    </row>
    <row r="53" spans="2:16">
      <c r="B53" s="3478" t="s">
        <v>300</v>
      </c>
      <c r="C53" s="3363"/>
      <c r="D53" s="3439"/>
      <c r="E53" s="3273"/>
      <c r="F53" s="3274"/>
      <c r="G53" s="3476" t="s">
        <v>300</v>
      </c>
      <c r="H53" s="3363"/>
      <c r="I53" s="3439"/>
      <c r="J53" s="3273"/>
      <c r="K53" s="3274"/>
    </row>
    <row r="54" spans="2:16">
      <c r="B54" s="3466" t="s">
        <v>283</v>
      </c>
      <c r="C54" s="3439">
        <f>C31*D54</f>
        <v>11460.598750000001</v>
      </c>
      <c r="D54" s="3884">
        <v>2.9405000000000001</v>
      </c>
      <c r="E54" s="3273" t="s">
        <v>322</v>
      </c>
      <c r="F54" s="3274"/>
      <c r="G54" s="3466" t="s">
        <v>283</v>
      </c>
      <c r="H54" s="3439">
        <f>C54*(1+$H$27)</f>
        <v>11460.598750000001</v>
      </c>
      <c r="I54" s="3884">
        <v>2.94</v>
      </c>
      <c r="J54" s="3273" t="s">
        <v>322</v>
      </c>
      <c r="K54" s="3274"/>
    </row>
    <row r="55" spans="2:16">
      <c r="B55" s="3466" t="s">
        <v>284</v>
      </c>
      <c r="C55" s="3439">
        <f>C32*D55</f>
        <v>22921.197500000002</v>
      </c>
      <c r="D55" s="3884">
        <v>2.9405000000000001</v>
      </c>
      <c r="E55" s="3273" t="s">
        <v>322</v>
      </c>
      <c r="F55" s="3274"/>
      <c r="G55" s="3466" t="s">
        <v>284</v>
      </c>
      <c r="H55" s="3439">
        <f>C55*(1+$H$27)</f>
        <v>22921.197500000002</v>
      </c>
      <c r="I55" s="3884">
        <v>2.94</v>
      </c>
      <c r="J55" s="3273" t="s">
        <v>322</v>
      </c>
      <c r="K55" s="3274"/>
    </row>
    <row r="56" spans="2:16">
      <c r="B56" s="3478" t="s">
        <v>316</v>
      </c>
      <c r="C56" s="3363"/>
      <c r="D56" s="3439"/>
      <c r="E56" s="3273"/>
      <c r="F56" s="3274"/>
      <c r="G56" s="3476" t="s">
        <v>316</v>
      </c>
      <c r="H56" s="3363"/>
      <c r="I56" s="3363"/>
      <c r="J56" s="3273"/>
      <c r="K56" s="3274"/>
      <c r="M56" s="3522"/>
      <c r="N56" s="3522"/>
      <c r="O56" s="3522"/>
      <c r="P56" s="3522"/>
    </row>
    <row r="57" spans="2:16">
      <c r="B57" s="3877">
        <f>C24</f>
        <v>3328785.1919999998</v>
      </c>
      <c r="C57" s="3433">
        <f>B58*'2013-15 PFF Budget Ops Impact'!C8</f>
        <v>540805.37399999995</v>
      </c>
      <c r="D57" s="3439" t="s">
        <v>263</v>
      </c>
      <c r="E57" s="3363" t="s">
        <v>488</v>
      </c>
      <c r="F57" s="3887">
        <f>VLOOKUP(E57,$C$75:$D$81,2,0)*C57</f>
        <v>676006.71749999991</v>
      </c>
      <c r="G57" s="3881">
        <f>H24</f>
        <v>3328785.1919999998</v>
      </c>
      <c r="H57" s="3433">
        <f>G58*'2013-15 PFF Budget Ops Impact'!C8</f>
        <v>540805.37399999995</v>
      </c>
      <c r="I57" s="3439" t="s">
        <v>263</v>
      </c>
      <c r="J57" s="3363" t="s">
        <v>488</v>
      </c>
      <c r="K57" s="3887">
        <f>VLOOKUP(J57,$H$75:$I$81,2,0)*H57</f>
        <v>676006.71749999991</v>
      </c>
      <c r="M57" s="3892"/>
      <c r="N57" s="3892"/>
      <c r="O57" s="3892"/>
      <c r="P57" s="3893"/>
    </row>
    <row r="58" spans="2:16">
      <c r="B58" s="3874">
        <f>B57/C6</f>
        <v>2.9999999999999996E-3</v>
      </c>
      <c r="C58" s="3433">
        <f>$B$58*'2013-15 PFF Budget Ops Impact'!C9</f>
        <v>24992.762699999999</v>
      </c>
      <c r="D58" s="3439" t="s">
        <v>265</v>
      </c>
      <c r="E58" s="3363" t="s">
        <v>488</v>
      </c>
      <c r="F58" s="3887">
        <f t="shared" ref="F58:F72" si="1">VLOOKUP(E58,$C$75:$D$81,2,0)*C58</f>
        <v>31240.953374999997</v>
      </c>
      <c r="G58" s="3874">
        <f>G57/C6</f>
        <v>2.9999999999999996E-3</v>
      </c>
      <c r="H58" s="3433">
        <f>$G$58*'2013-15 PFF Budget Ops Impact'!C9</f>
        <v>24992.762699999999</v>
      </c>
      <c r="I58" s="3439" t="s">
        <v>265</v>
      </c>
      <c r="J58" s="3363" t="s">
        <v>488</v>
      </c>
      <c r="K58" s="3887">
        <f t="shared" ref="K58:K72" si="2">VLOOKUP(J58,$H$75:$I$81,2,0)*H58</f>
        <v>31240.953374999997</v>
      </c>
      <c r="M58" s="3892"/>
      <c r="N58" s="3892"/>
      <c r="O58" s="3892"/>
      <c r="P58" s="3893"/>
    </row>
    <row r="59" spans="2:16">
      <c r="B59" s="3440"/>
      <c r="C59" s="3433">
        <f>$B$58*'2013-15 PFF Budget Ops Impact'!C10</f>
        <v>34064.044799999996</v>
      </c>
      <c r="D59" s="3439" t="s">
        <v>264</v>
      </c>
      <c r="E59" s="3363" t="s">
        <v>489</v>
      </c>
      <c r="F59" s="3887">
        <f t="shared" si="1"/>
        <v>52799.269439999996</v>
      </c>
      <c r="G59" s="3882"/>
      <c r="H59" s="3433">
        <f>$G$58*'2013-15 PFF Budget Ops Impact'!C10</f>
        <v>34064.044799999996</v>
      </c>
      <c r="I59" s="3439" t="s">
        <v>264</v>
      </c>
      <c r="J59" s="3363" t="s">
        <v>489</v>
      </c>
      <c r="K59" s="3887">
        <f t="shared" si="2"/>
        <v>52799.269439999996</v>
      </c>
      <c r="M59" s="3892"/>
      <c r="N59" s="3892"/>
      <c r="O59" s="3892"/>
      <c r="P59" s="3893"/>
    </row>
    <row r="60" spans="2:16">
      <c r="B60" s="3440"/>
      <c r="C60" s="3433">
        <f>$B$58*'2013-15 PFF Budget Ops Impact'!C11</f>
        <v>48826.103999999992</v>
      </c>
      <c r="D60" s="3439" t="s">
        <v>266</v>
      </c>
      <c r="E60" s="3363" t="s">
        <v>490</v>
      </c>
      <c r="F60" s="3887">
        <f t="shared" si="1"/>
        <v>0</v>
      </c>
      <c r="G60" s="3882"/>
      <c r="H60" s="3433">
        <f>$G$58*'2013-15 PFF Budget Ops Impact'!C11</f>
        <v>48826.103999999992</v>
      </c>
      <c r="I60" s="3439" t="s">
        <v>266</v>
      </c>
      <c r="J60" s="3363" t="s">
        <v>490</v>
      </c>
      <c r="K60" s="3887">
        <f t="shared" si="2"/>
        <v>0</v>
      </c>
      <c r="M60" s="3892"/>
      <c r="N60" s="3892"/>
      <c r="O60" s="3892"/>
      <c r="P60" s="3893"/>
    </row>
    <row r="61" spans="2:16">
      <c r="B61" s="3440"/>
      <c r="C61" s="3433">
        <f>$B$58*'2013-15 PFF Budget Ops Impact'!C12</f>
        <v>65270.669099999992</v>
      </c>
      <c r="D61" s="3439" t="s">
        <v>267</v>
      </c>
      <c r="E61" s="3363" t="s">
        <v>490</v>
      </c>
      <c r="F61" s="3887">
        <f t="shared" si="1"/>
        <v>0</v>
      </c>
      <c r="G61" s="3882"/>
      <c r="H61" s="3433">
        <f>$G$58*'2013-15 PFF Budget Ops Impact'!C12</f>
        <v>65270.669099999992</v>
      </c>
      <c r="I61" s="3439" t="s">
        <v>267</v>
      </c>
      <c r="J61" s="3363" t="s">
        <v>490</v>
      </c>
      <c r="K61" s="3887">
        <f t="shared" si="2"/>
        <v>0</v>
      </c>
      <c r="M61" s="3892"/>
      <c r="N61" s="3892"/>
      <c r="O61" s="3892"/>
      <c r="P61" s="3893"/>
    </row>
    <row r="62" spans="2:16">
      <c r="B62" s="3440"/>
      <c r="C62" s="3433">
        <f>$B$58*'2013-15 PFF Budget Ops Impact'!C13</f>
        <v>56930.575499999992</v>
      </c>
      <c r="D62" s="3439" t="s">
        <v>484</v>
      </c>
      <c r="E62" s="3363" t="s">
        <v>490</v>
      </c>
      <c r="F62" s="3887">
        <f t="shared" si="1"/>
        <v>0</v>
      </c>
      <c r="G62" s="3882"/>
      <c r="H62" s="3433">
        <f>$G$58*'2013-15 PFF Budget Ops Impact'!C13</f>
        <v>56930.575499999992</v>
      </c>
      <c r="I62" s="3439" t="s">
        <v>484</v>
      </c>
      <c r="J62" s="3363" t="s">
        <v>490</v>
      </c>
      <c r="K62" s="3887">
        <f t="shared" si="2"/>
        <v>0</v>
      </c>
      <c r="M62" s="3892"/>
      <c r="N62" s="3892"/>
      <c r="O62" s="3892"/>
      <c r="P62" s="3893"/>
    </row>
    <row r="63" spans="2:16">
      <c r="B63" s="3440"/>
      <c r="C63" s="3433">
        <f>$B$58*'2013-15 PFF Budget Ops Impact'!C14</f>
        <v>270310.93079999997</v>
      </c>
      <c r="D63" s="3439" t="s">
        <v>485</v>
      </c>
      <c r="E63" s="3363" t="s">
        <v>488</v>
      </c>
      <c r="F63" s="3887">
        <f t="shared" si="1"/>
        <v>337888.66349999997</v>
      </c>
      <c r="G63" s="3882"/>
      <c r="H63" s="3433">
        <f>$G$58*'2013-15 PFF Budget Ops Impact'!C14</f>
        <v>270310.93079999997</v>
      </c>
      <c r="I63" s="3439" t="s">
        <v>485</v>
      </c>
      <c r="J63" s="3363" t="s">
        <v>488</v>
      </c>
      <c r="K63" s="3887">
        <f t="shared" si="2"/>
        <v>337888.66349999997</v>
      </c>
      <c r="M63" s="3892"/>
      <c r="N63" s="3892"/>
      <c r="O63" s="3892"/>
      <c r="P63" s="3893"/>
    </row>
    <row r="64" spans="2:16">
      <c r="B64" s="3440"/>
      <c r="C64" s="3433">
        <f>$B$58*'2013-15 PFF Budget Ops Impact'!C18</f>
        <v>701530.06739999994</v>
      </c>
      <c r="D64" s="3439" t="s">
        <v>270</v>
      </c>
      <c r="E64" s="3363" t="s">
        <v>489</v>
      </c>
      <c r="F64" s="3887">
        <f t="shared" si="1"/>
        <v>1087371.6044699999</v>
      </c>
      <c r="G64" s="3882"/>
      <c r="H64" s="3433">
        <f>$G$58*'2013-15 PFF Budget Ops Impact'!C18</f>
        <v>701530.06739999994</v>
      </c>
      <c r="I64" s="3439" t="s">
        <v>270</v>
      </c>
      <c r="J64" s="3363" t="s">
        <v>489</v>
      </c>
      <c r="K64" s="3887">
        <f t="shared" si="2"/>
        <v>1087371.6044699999</v>
      </c>
      <c r="M64" s="3892"/>
      <c r="N64" s="3892"/>
      <c r="O64" s="3892"/>
      <c r="P64" s="3893"/>
    </row>
    <row r="65" spans="2:16">
      <c r="B65" s="3440"/>
      <c r="C65" s="3433">
        <f>$B$58*'2013-15 PFF Budget Ops Impact'!C19</f>
        <v>80534.819099999993</v>
      </c>
      <c r="D65" s="3439" t="s">
        <v>271</v>
      </c>
      <c r="E65" s="3363" t="s">
        <v>491</v>
      </c>
      <c r="F65" s="3887">
        <f t="shared" si="1"/>
        <v>60401.114324999995</v>
      </c>
      <c r="G65" s="3882"/>
      <c r="H65" s="3433">
        <f>$G$58*'2013-15 PFF Budget Ops Impact'!C19</f>
        <v>80534.819099999993</v>
      </c>
      <c r="I65" s="3439" t="s">
        <v>271</v>
      </c>
      <c r="J65" s="3363" t="s">
        <v>491</v>
      </c>
      <c r="K65" s="3887">
        <f t="shared" si="2"/>
        <v>60401.114324999995</v>
      </c>
      <c r="M65" s="3892"/>
      <c r="N65" s="3892"/>
      <c r="O65" s="3892"/>
      <c r="P65" s="3893"/>
    </row>
    <row r="66" spans="2:16">
      <c r="B66" s="3440"/>
      <c r="C66" s="3433">
        <f>$B$58*'2013-15 PFF Budget Ops Impact'!C20</f>
        <v>115689.14939999998</v>
      </c>
      <c r="D66" s="3439" t="s">
        <v>272</v>
      </c>
      <c r="E66" s="3363" t="s">
        <v>492</v>
      </c>
      <c r="F66" s="3887">
        <f t="shared" si="1"/>
        <v>0</v>
      </c>
      <c r="G66" s="3882"/>
      <c r="H66" s="3433">
        <f>$G$58*'2013-15 PFF Budget Ops Impact'!C20</f>
        <v>115689.14939999998</v>
      </c>
      <c r="I66" s="3439" t="s">
        <v>272</v>
      </c>
      <c r="J66" s="3363" t="s">
        <v>492</v>
      </c>
      <c r="K66" s="3887">
        <f t="shared" si="2"/>
        <v>0</v>
      </c>
      <c r="M66" s="3892"/>
      <c r="N66" s="3892"/>
      <c r="O66" s="3892"/>
      <c r="P66" s="3893"/>
    </row>
    <row r="67" spans="2:16">
      <c r="B67" s="3440"/>
      <c r="C67" s="3433">
        <f>$B$58*'2013-15 PFF Budget Ops Impact'!C21</f>
        <v>39220.763999999996</v>
      </c>
      <c r="D67" s="3439" t="s">
        <v>273</v>
      </c>
      <c r="E67" s="3363" t="s">
        <v>493</v>
      </c>
      <c r="F67" s="3887">
        <f t="shared" si="1"/>
        <v>49025.954999999994</v>
      </c>
      <c r="G67" s="3882"/>
      <c r="H67" s="3433">
        <f>$G$58*'2013-15 PFF Budget Ops Impact'!C21</f>
        <v>39220.763999999996</v>
      </c>
      <c r="I67" s="3439" t="s">
        <v>273</v>
      </c>
      <c r="J67" s="3363" t="s">
        <v>493</v>
      </c>
      <c r="K67" s="3887">
        <f t="shared" si="2"/>
        <v>49025.954999999994</v>
      </c>
      <c r="M67" s="3892"/>
      <c r="N67" s="3892"/>
      <c r="O67" s="3892"/>
      <c r="P67" s="3893"/>
    </row>
    <row r="68" spans="2:16">
      <c r="B68" s="3440"/>
      <c r="C68" s="3433">
        <f>B58*'2013-15 PFF Budget Ops Impact'!C24</f>
        <v>202951.44899999996</v>
      </c>
      <c r="D68" s="3439" t="s">
        <v>275</v>
      </c>
      <c r="E68" s="3363" t="s">
        <v>489</v>
      </c>
      <c r="F68" s="3887">
        <f t="shared" si="1"/>
        <v>314574.74594999995</v>
      </c>
      <c r="G68" s="3882"/>
      <c r="H68" s="3433">
        <f>$G$58*'2013-15 PFF Budget Ops Impact'!C24</f>
        <v>202951.44899999996</v>
      </c>
      <c r="I68" s="3439" t="s">
        <v>275</v>
      </c>
      <c r="J68" s="3363" t="s">
        <v>489</v>
      </c>
      <c r="K68" s="3887">
        <f t="shared" si="2"/>
        <v>314574.74594999995</v>
      </c>
      <c r="M68" s="3892"/>
      <c r="N68" s="3892"/>
      <c r="O68" s="3892"/>
      <c r="P68" s="3893"/>
    </row>
    <row r="69" spans="2:16">
      <c r="B69" s="3440"/>
      <c r="C69" s="3433">
        <f>B58*'2013-15 PFF Budget Ops Impact'!C26</f>
        <v>356169.04799999995</v>
      </c>
      <c r="D69" s="3439" t="s">
        <v>276</v>
      </c>
      <c r="E69" s="3363" t="s">
        <v>494</v>
      </c>
      <c r="F69" s="3887">
        <f>VLOOKUP(E69,$C$75:$D$81,2,0)*C69</f>
        <v>178084.52399999998</v>
      </c>
      <c r="G69" s="3882"/>
      <c r="H69" s="3433">
        <f>$G$58*'2013-15 PFF Budget Ops Impact'!C26</f>
        <v>356169.04799999995</v>
      </c>
      <c r="I69" s="3439" t="s">
        <v>276</v>
      </c>
      <c r="J69" s="3363" t="s">
        <v>494</v>
      </c>
      <c r="K69" s="3887">
        <f t="shared" si="2"/>
        <v>178084.52399999998</v>
      </c>
      <c r="M69" s="3892"/>
      <c r="N69" s="3892"/>
      <c r="O69" s="3892"/>
      <c r="P69" s="3893"/>
    </row>
    <row r="70" spans="2:16">
      <c r="B70" s="3440"/>
      <c r="C70" s="3433">
        <f>B58*'2013-15 PFF Budget Ops Impact'!C28</f>
        <v>120328.47899999999</v>
      </c>
      <c r="D70" s="3439" t="s">
        <v>277</v>
      </c>
      <c r="E70" s="3363" t="s">
        <v>494</v>
      </c>
      <c r="F70" s="3887">
        <f t="shared" si="1"/>
        <v>60164.239499999996</v>
      </c>
      <c r="G70" s="3882"/>
      <c r="H70" s="3433">
        <f>$G$58*'2013-15 PFF Budget Ops Impact'!C28</f>
        <v>120328.47899999999</v>
      </c>
      <c r="I70" s="3439" t="s">
        <v>277</v>
      </c>
      <c r="J70" s="3363" t="s">
        <v>494</v>
      </c>
      <c r="K70" s="3887">
        <f t="shared" si="2"/>
        <v>60164.239499999996</v>
      </c>
      <c r="M70" s="3892"/>
      <c r="N70" s="3892"/>
      <c r="O70" s="3892"/>
      <c r="P70" s="3893"/>
    </row>
    <row r="71" spans="2:16">
      <c r="B71" s="3440"/>
      <c r="C71" s="3433">
        <f>B58*'2013-15 PFF Budget Ops Impact'!C30</f>
        <v>559253.82299999997</v>
      </c>
      <c r="D71" s="3439" t="s">
        <v>486</v>
      </c>
      <c r="E71" s="3363" t="s">
        <v>491</v>
      </c>
      <c r="F71" s="3887">
        <f t="shared" si="1"/>
        <v>419440.36725000001</v>
      </c>
      <c r="G71" s="3882"/>
      <c r="H71" s="3433">
        <f>$G$58*'2013-15 PFF Budget Ops Impact'!C30</f>
        <v>559253.82299999997</v>
      </c>
      <c r="I71" s="3439" t="s">
        <v>486</v>
      </c>
      <c r="J71" s="3363" t="s">
        <v>491</v>
      </c>
      <c r="K71" s="3887">
        <f t="shared" si="2"/>
        <v>419440.36725000001</v>
      </c>
      <c r="M71" s="3892"/>
      <c r="N71" s="3892"/>
      <c r="O71" s="3892"/>
      <c r="P71" s="3893"/>
    </row>
    <row r="72" spans="2:16" ht="14.4" thickBot="1">
      <c r="B72" s="3898"/>
      <c r="C72" s="3889">
        <f>B58*'2013-15 PFF Budget Ops Impact'!C32</f>
        <v>111907.13399999999</v>
      </c>
      <c r="D72" s="3451" t="s">
        <v>278</v>
      </c>
      <c r="E72" s="3890" t="s">
        <v>494</v>
      </c>
      <c r="F72" s="3891">
        <f t="shared" si="1"/>
        <v>55953.566999999995</v>
      </c>
      <c r="G72" s="3882"/>
      <c r="H72" s="3889">
        <f>$G$58*'2013-15 PFF Budget Ops Impact'!C32</f>
        <v>111907.13399999999</v>
      </c>
      <c r="I72" s="3451" t="s">
        <v>278</v>
      </c>
      <c r="J72" s="3890" t="s">
        <v>494</v>
      </c>
      <c r="K72" s="3891">
        <f t="shared" si="2"/>
        <v>55953.566999999995</v>
      </c>
      <c r="M72" s="3892"/>
      <c r="N72" s="3892"/>
      <c r="O72" s="3892"/>
      <c r="P72" s="3893"/>
    </row>
    <row r="73" spans="2:16" s="3261" customFormat="1" ht="14.4" thickTop="1">
      <c r="B73" s="3432"/>
      <c r="C73" s="3880">
        <f>SUM(C57:C72)</f>
        <v>3328785.1937999995</v>
      </c>
      <c r="D73" s="3880"/>
      <c r="E73" s="3880"/>
      <c r="F73" s="3888">
        <f t="shared" ref="F73" si="3">SUM(F57:F72)</f>
        <v>3322951.7213099999</v>
      </c>
      <c r="G73" s="3883"/>
      <c r="H73" s="3880">
        <f>SUM(H57:H72)</f>
        <v>3328785.1937999995</v>
      </c>
      <c r="I73" s="3880"/>
      <c r="J73" s="3880"/>
      <c r="K73" s="3888">
        <f t="shared" ref="K73" si="4">SUM(K57:K72)</f>
        <v>3322951.7213099999</v>
      </c>
      <c r="M73" s="3894"/>
      <c r="N73" s="3522"/>
      <c r="O73" s="3895"/>
      <c r="P73" s="3895"/>
    </row>
    <row r="74" spans="2:16">
      <c r="B74" s="3440"/>
      <c r="C74" s="3363"/>
      <c r="D74" s="3439"/>
      <c r="E74" s="3273"/>
      <c r="F74" s="3274"/>
      <c r="G74" s="3440"/>
      <c r="H74" s="3363"/>
      <c r="I74" s="3439"/>
      <c r="J74" s="3273"/>
      <c r="K74" s="3274"/>
    </row>
    <row r="75" spans="2:16">
      <c r="B75" s="3440"/>
      <c r="C75" s="3363" t="s">
        <v>489</v>
      </c>
      <c r="D75" s="3875">
        <v>1.55</v>
      </c>
      <c r="E75" s="3273"/>
      <c r="F75" s="3878"/>
      <c r="G75" s="3440"/>
      <c r="H75" s="3363" t="s">
        <v>489</v>
      </c>
      <c r="I75" s="3875">
        <v>1.55</v>
      </c>
      <c r="J75" s="3273"/>
      <c r="K75" s="3878"/>
    </row>
    <row r="76" spans="2:16">
      <c r="B76" s="3440"/>
      <c r="C76" s="3363" t="s">
        <v>488</v>
      </c>
      <c r="D76" s="3875">
        <v>1.25</v>
      </c>
      <c r="E76" s="3273"/>
      <c r="F76" s="3878"/>
      <c r="G76" s="3440"/>
      <c r="H76" s="3363" t="s">
        <v>488</v>
      </c>
      <c r="I76" s="3875">
        <v>1.25</v>
      </c>
      <c r="J76" s="3273"/>
      <c r="K76" s="3878"/>
    </row>
    <row r="77" spans="2:16">
      <c r="B77" s="3440"/>
      <c r="C77" s="3363" t="s">
        <v>493</v>
      </c>
      <c r="D77" s="3875">
        <v>1.25</v>
      </c>
      <c r="E77" s="3273"/>
      <c r="F77" s="3878"/>
      <c r="G77" s="3440"/>
      <c r="H77" s="3363" t="s">
        <v>493</v>
      </c>
      <c r="I77" s="3875">
        <v>1.25</v>
      </c>
      <c r="J77" s="3273"/>
      <c r="K77" s="3878"/>
    </row>
    <row r="78" spans="2:16">
      <c r="B78" s="3440"/>
      <c r="C78" s="3363" t="s">
        <v>491</v>
      </c>
      <c r="D78" s="3875">
        <v>0.75</v>
      </c>
      <c r="E78" s="3273"/>
      <c r="F78" s="3878"/>
      <c r="G78" s="3440"/>
      <c r="H78" s="3363" t="s">
        <v>491</v>
      </c>
      <c r="I78" s="3875">
        <v>0.75</v>
      </c>
      <c r="J78" s="3273"/>
      <c r="K78" s="3878"/>
    </row>
    <row r="79" spans="2:16">
      <c r="B79" s="3440"/>
      <c r="C79" s="3363" t="s">
        <v>492</v>
      </c>
      <c r="D79" s="3875">
        <v>0</v>
      </c>
      <c r="E79" s="3273"/>
      <c r="F79" s="3878"/>
      <c r="G79" s="3440"/>
      <c r="H79" s="3363" t="s">
        <v>492</v>
      </c>
      <c r="I79" s="3875">
        <v>0</v>
      </c>
      <c r="J79" s="3273"/>
      <c r="K79" s="3878"/>
    </row>
    <row r="80" spans="2:16">
      <c r="B80" s="3440"/>
      <c r="C80" s="3363" t="s">
        <v>494</v>
      </c>
      <c r="D80" s="3875">
        <v>0.5</v>
      </c>
      <c r="E80" s="3273"/>
      <c r="F80" s="3878"/>
      <c r="G80" s="3440"/>
      <c r="H80" s="3363" t="s">
        <v>494</v>
      </c>
      <c r="I80" s="3875">
        <v>0.5</v>
      </c>
      <c r="J80" s="3273"/>
      <c r="K80" s="3878"/>
    </row>
    <row r="81" spans="2:11" ht="14.4" thickBot="1">
      <c r="B81" s="3458"/>
      <c r="C81" s="3442" t="s">
        <v>490</v>
      </c>
      <c r="D81" s="3876">
        <v>0</v>
      </c>
      <c r="E81" s="3291"/>
      <c r="F81" s="3879"/>
      <c r="G81" s="3458"/>
      <c r="H81" s="3442" t="s">
        <v>490</v>
      </c>
      <c r="I81" s="3876">
        <v>0</v>
      </c>
      <c r="J81" s="3291"/>
      <c r="K81" s="3879"/>
    </row>
    <row r="83" spans="2:11">
      <c r="D83" s="3873"/>
    </row>
    <row r="84" spans="2:11">
      <c r="D84" s="3873"/>
    </row>
  </sheetData>
  <pageMargins left="0.2" right="0.28000000000000003" top="0.33" bottom="0.48" header="0.3" footer="0.3"/>
  <pageSetup scale="54" orientation="landscape" r:id="rId1"/>
  <headerFooter>
    <oddFooter>&amp;LHouse Ways and Means Cmte Amendment 1001 2-14-13&amp;R&amp;D</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4"/>
  <sheetViews>
    <sheetView topLeftCell="B1" zoomScale="80" zoomScaleNormal="80" workbookViewId="0">
      <selection activeCell="K38" sqref="K38"/>
    </sheetView>
  </sheetViews>
  <sheetFormatPr defaultColWidth="9.109375" defaultRowHeight="13.2"/>
  <cols>
    <col min="1" max="1" width="43.44140625" style="3154" customWidth="1"/>
    <col min="2" max="2" width="14.5546875" style="3170" bestFit="1" customWidth="1"/>
    <col min="3" max="3" width="1.44140625" style="3170" customWidth="1"/>
    <col min="4" max="4" width="14.5546875" style="3170" bestFit="1" customWidth="1"/>
    <col min="5" max="5" width="1.5546875" style="3170" customWidth="1"/>
    <col min="6" max="6" width="14.5546875" style="3166" bestFit="1" customWidth="1"/>
    <col min="7" max="7" width="1.44140625" style="3170" customWidth="1"/>
    <col min="8" max="8" width="14.5546875" style="3170" bestFit="1" customWidth="1"/>
    <col min="9" max="9" width="1.5546875" style="3170" customWidth="1"/>
    <col min="10" max="10" width="14.5546875" style="3170" bestFit="1" customWidth="1"/>
    <col min="11" max="11" width="1.44140625" style="3170" customWidth="1"/>
    <col min="12" max="12" width="14.5546875" style="3170" bestFit="1" customWidth="1"/>
    <col min="13" max="13" width="1.44140625" style="3170" customWidth="1"/>
    <col min="14" max="14" width="14.33203125" style="3170" bestFit="1" customWidth="1"/>
    <col min="15" max="15" width="1.6640625" style="3170" customWidth="1"/>
    <col min="16" max="16" width="14.33203125" style="3170" bestFit="1" customWidth="1"/>
    <col min="17" max="17" width="1.6640625" style="3170" customWidth="1"/>
    <col min="18" max="18" width="14.5546875" style="3170" bestFit="1" customWidth="1"/>
    <col min="19" max="19" width="1.44140625" style="3170" customWidth="1"/>
    <col min="20" max="20" width="7.5546875" style="3170" bestFit="1" customWidth="1"/>
    <col min="21" max="21" width="1.44140625" style="3170" customWidth="1"/>
    <col min="22" max="22" width="10.5546875" style="3170" bestFit="1" customWidth="1"/>
    <col min="23" max="23" width="1.44140625" style="3170" customWidth="1"/>
    <col min="24" max="24" width="10.5546875" style="3170" bestFit="1" customWidth="1"/>
    <col min="25" max="16384" width="9.109375" style="3170"/>
  </cols>
  <sheetData>
    <row r="1" spans="1:24">
      <c r="A1" s="4479" t="s">
        <v>514</v>
      </c>
      <c r="B1" s="4479"/>
      <c r="C1" s="4479"/>
      <c r="D1" s="4479"/>
      <c r="E1" s="4479"/>
      <c r="F1" s="4479"/>
      <c r="G1" s="4479"/>
      <c r="H1" s="4479"/>
      <c r="I1" s="4479"/>
      <c r="J1" s="4479"/>
      <c r="K1" s="4479"/>
      <c r="L1" s="4479"/>
      <c r="M1" s="4479"/>
      <c r="N1" s="4479"/>
      <c r="O1" s="4479"/>
      <c r="P1" s="4479"/>
      <c r="Q1" s="4479"/>
      <c r="R1" s="4479"/>
      <c r="S1" s="4479"/>
      <c r="T1" s="4479"/>
      <c r="U1" s="4479"/>
      <c r="V1" s="4479"/>
      <c r="W1" s="4479"/>
      <c r="X1" s="4479"/>
    </row>
    <row r="2" spans="1:24">
      <c r="A2" s="4480" t="s">
        <v>515</v>
      </c>
      <c r="B2" s="4480"/>
      <c r="C2" s="4480"/>
      <c r="D2" s="4480"/>
      <c r="E2" s="4480"/>
      <c r="F2" s="4480"/>
      <c r="G2" s="4480"/>
      <c r="H2" s="4480"/>
      <c r="I2" s="4480"/>
      <c r="J2" s="4480"/>
      <c r="K2" s="4480"/>
      <c r="L2" s="4480"/>
      <c r="M2" s="4480"/>
      <c r="N2" s="4480"/>
      <c r="O2" s="4480"/>
      <c r="P2" s="4480"/>
      <c r="Q2" s="4480"/>
      <c r="R2" s="4480"/>
      <c r="S2" s="4480"/>
      <c r="T2" s="4480"/>
      <c r="U2" s="4480"/>
      <c r="V2" s="4480"/>
      <c r="W2" s="4480"/>
      <c r="X2" s="4480"/>
    </row>
    <row r="3" spans="1:24">
      <c r="A3" s="4481" t="s">
        <v>0</v>
      </c>
      <c r="B3" s="4481"/>
      <c r="C3" s="4481"/>
      <c r="D3" s="4481"/>
      <c r="E3" s="4481"/>
      <c r="F3" s="4481"/>
      <c r="G3" s="4481"/>
      <c r="H3" s="4481"/>
      <c r="I3" s="4481"/>
      <c r="J3" s="4481"/>
      <c r="K3" s="4481"/>
      <c r="L3" s="4481"/>
      <c r="M3" s="4481"/>
      <c r="N3" s="4481"/>
      <c r="O3" s="4481"/>
      <c r="P3" s="4481"/>
      <c r="Q3" s="4481"/>
      <c r="R3" s="4481"/>
      <c r="S3" s="4481"/>
      <c r="T3" s="4481"/>
      <c r="U3" s="4481"/>
      <c r="V3" s="4481"/>
      <c r="W3" s="4481"/>
      <c r="X3" s="4481"/>
    </row>
    <row r="4" spans="1:24">
      <c r="A4" s="4482" t="s">
        <v>516</v>
      </c>
      <c r="B4" s="4482"/>
      <c r="C4" s="4482"/>
      <c r="D4" s="4482"/>
      <c r="E4" s="4482"/>
      <c r="F4" s="4482"/>
      <c r="G4" s="4482"/>
      <c r="H4" s="4482"/>
      <c r="I4" s="4482"/>
      <c r="J4" s="4482"/>
      <c r="K4" s="4482"/>
      <c r="L4" s="4482"/>
      <c r="M4" s="4482"/>
      <c r="N4" s="4482"/>
      <c r="O4" s="4482"/>
      <c r="P4" s="4482"/>
      <c r="Q4" s="4482"/>
      <c r="R4" s="4482"/>
      <c r="S4" s="4482"/>
      <c r="T4" s="4482"/>
      <c r="U4" s="4482"/>
      <c r="V4" s="4482"/>
      <c r="W4" s="4482"/>
      <c r="X4" s="4482"/>
    </row>
    <row r="5" spans="1:24" ht="13.8" thickBot="1">
      <c r="A5" s="41" t="s">
        <v>1</v>
      </c>
      <c r="B5" s="41"/>
      <c r="C5" s="41"/>
      <c r="D5" s="41"/>
      <c r="E5" s="41"/>
      <c r="F5" s="41"/>
      <c r="G5" s="41"/>
      <c r="H5" s="41"/>
      <c r="I5" s="41"/>
      <c r="J5" s="41"/>
      <c r="K5" s="41"/>
      <c r="L5" s="41"/>
      <c r="M5" s="41"/>
      <c r="N5" s="41"/>
      <c r="S5" s="41"/>
      <c r="T5" s="41"/>
      <c r="U5" s="41"/>
      <c r="V5" s="41"/>
      <c r="W5" s="41"/>
      <c r="X5" s="41"/>
    </row>
    <row r="6" spans="1:24" s="3900" customFormat="1">
      <c r="A6" s="114" t="s">
        <v>748</v>
      </c>
      <c r="B6" s="3038" t="s">
        <v>13</v>
      </c>
      <c r="C6" s="3051"/>
      <c r="D6" s="3040" t="s">
        <v>13</v>
      </c>
      <c r="E6" s="3051"/>
      <c r="F6" s="3050" t="s">
        <v>13</v>
      </c>
      <c r="G6" s="3051"/>
      <c r="H6" s="3050" t="s">
        <v>13</v>
      </c>
      <c r="I6" s="3051"/>
      <c r="J6" s="3050" t="s">
        <v>13</v>
      </c>
      <c r="K6" s="3051"/>
      <c r="L6" s="3041" t="s">
        <v>14</v>
      </c>
      <c r="M6" s="3051"/>
      <c r="N6" s="3041" t="s">
        <v>15</v>
      </c>
      <c r="O6" s="3051"/>
      <c r="P6" s="3042" t="s">
        <v>16</v>
      </c>
      <c r="Q6" s="3051"/>
      <c r="R6" s="3044" t="s">
        <v>16</v>
      </c>
      <c r="S6" s="3051"/>
      <c r="T6" s="3077" t="s">
        <v>62</v>
      </c>
      <c r="U6" s="3039"/>
      <c r="V6" s="3081" t="s">
        <v>75</v>
      </c>
      <c r="W6" s="3039"/>
      <c r="X6" s="3079" t="s">
        <v>75</v>
      </c>
    </row>
    <row r="7" spans="1:24" s="3900" customFormat="1" ht="13.8" thickBot="1">
      <c r="A7" s="3052"/>
      <c r="B7" s="3037" t="s">
        <v>3</v>
      </c>
      <c r="C7" s="3053"/>
      <c r="D7" s="3030" t="s">
        <v>4</v>
      </c>
      <c r="E7" s="3053"/>
      <c r="F7" s="3031" t="s">
        <v>5</v>
      </c>
      <c r="G7" s="3053"/>
      <c r="H7" s="3032" t="s">
        <v>6</v>
      </c>
      <c r="I7" s="3053"/>
      <c r="J7" s="3032" t="s">
        <v>7</v>
      </c>
      <c r="K7" s="3053"/>
      <c r="L7" s="3032" t="s">
        <v>8</v>
      </c>
      <c r="M7" s="3053"/>
      <c r="N7" s="3032" t="s">
        <v>9</v>
      </c>
      <c r="O7" s="3053"/>
      <c r="P7" s="3043" t="s">
        <v>10</v>
      </c>
      <c r="Q7" s="3053"/>
      <c r="R7" s="3045" t="s">
        <v>11</v>
      </c>
      <c r="S7" s="3053"/>
      <c r="T7" s="3078" t="s">
        <v>63</v>
      </c>
      <c r="U7" s="3033"/>
      <c r="V7" s="3075" t="s">
        <v>76</v>
      </c>
      <c r="W7" s="3033"/>
      <c r="X7" s="3080" t="s">
        <v>77</v>
      </c>
    </row>
    <row r="8" spans="1:24">
      <c r="A8" s="3731" t="s">
        <v>517</v>
      </c>
      <c r="B8" s="3917"/>
      <c r="C8" s="3918"/>
      <c r="D8" s="3919"/>
      <c r="E8" s="3918"/>
      <c r="F8" s="3919"/>
      <c r="G8" s="3918"/>
      <c r="H8" s="3920"/>
      <c r="I8" s="3918"/>
      <c r="J8" s="3920"/>
      <c r="K8" s="3918"/>
      <c r="L8" s="3920"/>
      <c r="M8" s="3918"/>
      <c r="N8" s="3920"/>
      <c r="O8" s="3918"/>
      <c r="P8" s="3732"/>
      <c r="Q8" s="3918"/>
      <c r="R8" s="3733"/>
      <c r="S8" s="3918"/>
      <c r="T8" s="3921"/>
      <c r="U8" s="3918"/>
      <c r="V8" s="3920"/>
      <c r="W8" s="3918"/>
      <c r="X8" s="3922"/>
    </row>
    <row r="9" spans="1:24">
      <c r="A9" s="3734" t="s">
        <v>518</v>
      </c>
      <c r="B9" s="3807">
        <f>B26+B43+B60+B77</f>
        <v>254939228</v>
      </c>
      <c r="C9" s="2696"/>
      <c r="D9" s="3808">
        <f>D26+D43+D60+D77</f>
        <v>265830761</v>
      </c>
      <c r="E9" s="2696"/>
      <c r="F9" s="3808">
        <f>F26+F43+F60+F77</f>
        <v>274925190</v>
      </c>
      <c r="G9" s="2696"/>
      <c r="H9" s="3808">
        <f>H26+H43+H60+H77</f>
        <v>286357648</v>
      </c>
      <c r="I9" s="2696"/>
      <c r="J9" s="3808">
        <f>J26+J43+J60+J77</f>
        <v>290991184</v>
      </c>
      <c r="K9" s="2696"/>
      <c r="L9" s="3808">
        <f>L26+L43+L60+L77</f>
        <v>303474670</v>
      </c>
      <c r="M9" s="2696"/>
      <c r="N9" s="3808">
        <f>N26+N43+N60+N77</f>
        <v>307602060</v>
      </c>
      <c r="O9" s="2696"/>
      <c r="P9" s="3808">
        <f>P26+P43+P60+P77</f>
        <v>314401572</v>
      </c>
      <c r="Q9" s="2696"/>
      <c r="R9" s="4133">
        <f>R26+R43+R60+R77</f>
        <v>322916868</v>
      </c>
      <c r="S9" s="3901"/>
      <c r="T9" s="3546">
        <f>(((N9/B9)^(1/6)-1))</f>
        <v>3.1791855770084032E-2</v>
      </c>
      <c r="U9" s="4171"/>
      <c r="V9" s="3547">
        <f>(P9-N9)/N9</f>
        <v>2.2104897476954478E-2</v>
      </c>
      <c r="W9" s="4171"/>
      <c r="X9" s="3548">
        <f>(R9-P9)/P9</f>
        <v>2.7084139388463362E-2</v>
      </c>
    </row>
    <row r="10" spans="1:24">
      <c r="A10" s="3734"/>
      <c r="B10" s="3807"/>
      <c r="C10" s="2696"/>
      <c r="D10" s="3808"/>
      <c r="E10" s="2696"/>
      <c r="F10" s="3808"/>
      <c r="G10" s="2696"/>
      <c r="H10" s="3808"/>
      <c r="I10" s="2696"/>
      <c r="J10" s="3808"/>
      <c r="K10" s="2696"/>
      <c r="L10" s="3808"/>
      <c r="M10" s="2696"/>
      <c r="N10" s="3808"/>
      <c r="O10" s="2696"/>
      <c r="P10" s="3808"/>
      <c r="Q10" s="2696"/>
      <c r="R10" s="4133"/>
      <c r="S10" s="3901"/>
      <c r="T10" s="3546"/>
      <c r="U10" s="4171"/>
      <c r="V10" s="3547"/>
      <c r="W10" s="4171"/>
      <c r="X10" s="3548"/>
    </row>
    <row r="11" spans="1:24">
      <c r="A11" s="3734" t="s">
        <v>519</v>
      </c>
      <c r="B11" s="33">
        <f>B28+B45+B62+B79</f>
        <v>31944324</v>
      </c>
      <c r="C11" s="34"/>
      <c r="D11" s="35">
        <f>D28+D45+D62+D79</f>
        <v>34513235</v>
      </c>
      <c r="E11" s="34"/>
      <c r="F11" s="35">
        <f>F28+F45+F62+F79</f>
        <v>39044868</v>
      </c>
      <c r="G11" s="34"/>
      <c r="H11" s="35">
        <f>H28+H45+H62+H79</f>
        <v>36129933</v>
      </c>
      <c r="I11" s="34"/>
      <c r="J11" s="35">
        <f>J28+J45+J62+J79</f>
        <v>31720632</v>
      </c>
      <c r="K11" s="34"/>
      <c r="L11" s="35">
        <f>L28+L45+L62+L79</f>
        <v>40543191</v>
      </c>
      <c r="M11" s="34"/>
      <c r="N11" s="35">
        <f>N28+N45+N62+N79</f>
        <v>41486558</v>
      </c>
      <c r="O11" s="34"/>
      <c r="P11" s="3808">
        <f>P28+P45+P62+P79</f>
        <v>42834350</v>
      </c>
      <c r="Q11" s="34"/>
      <c r="R11" s="4133">
        <f>R28+R45+R62+R79</f>
        <v>44510672</v>
      </c>
      <c r="S11" s="3903"/>
      <c r="T11" s="3546">
        <f>(((N11/B11)^(1/6)-1))</f>
        <v>4.4525267910952238E-2</v>
      </c>
      <c r="U11" s="4138"/>
      <c r="V11" s="4137">
        <f>(P11-N11)/N11</f>
        <v>3.2487438461392723E-2</v>
      </c>
      <c r="W11" s="4138"/>
      <c r="X11" s="4139">
        <f>(R11-P11)/P11</f>
        <v>3.9134993293933489E-2</v>
      </c>
    </row>
    <row r="12" spans="1:24">
      <c r="A12" s="3734"/>
      <c r="B12" s="33"/>
      <c r="C12" s="34"/>
      <c r="D12" s="35"/>
      <c r="E12" s="34"/>
      <c r="F12" s="35"/>
      <c r="G12" s="34"/>
      <c r="H12" s="35"/>
      <c r="I12" s="34"/>
      <c r="J12" s="35"/>
      <c r="K12" s="34"/>
      <c r="L12" s="35"/>
      <c r="M12" s="34"/>
      <c r="N12" s="35"/>
      <c r="O12" s="34"/>
      <c r="P12" s="3808"/>
      <c r="Q12" s="34"/>
      <c r="R12" s="4133"/>
      <c r="S12" s="3903"/>
      <c r="T12" s="4172"/>
      <c r="U12" s="4138"/>
      <c r="V12" s="4137"/>
      <c r="W12" s="4138"/>
      <c r="X12" s="4139"/>
    </row>
    <row r="13" spans="1:24">
      <c r="A13" s="3734" t="s">
        <v>520</v>
      </c>
      <c r="B13" s="33">
        <f>B30+B47+B64+B81</f>
        <v>85688911</v>
      </c>
      <c r="C13" s="34"/>
      <c r="D13" s="35">
        <f>D30+D47+D64+D81</f>
        <v>80743161</v>
      </c>
      <c r="E13" s="34"/>
      <c r="F13" s="35">
        <f>F30+F47+F64+F81</f>
        <v>70640873</v>
      </c>
      <c r="G13" s="34"/>
      <c r="H13" s="35">
        <f>H30+H47+H64+H81</f>
        <v>68894221</v>
      </c>
      <c r="I13" s="34"/>
      <c r="J13" s="35">
        <f>J30+J47+J64+J81</f>
        <v>75282579</v>
      </c>
      <c r="K13" s="34"/>
      <c r="L13" s="35">
        <f>L30+L47+L64+L81</f>
        <v>75002299</v>
      </c>
      <c r="M13" s="34"/>
      <c r="N13" s="35">
        <f>N30+N47+N64+N81</f>
        <v>77259401</v>
      </c>
      <c r="O13" s="34"/>
      <c r="P13" s="3808">
        <f>P30+P47+P64+P81</f>
        <v>77610688</v>
      </c>
      <c r="Q13" s="34"/>
      <c r="R13" s="4133">
        <f>R30+R47+R64+R81</f>
        <v>78276511</v>
      </c>
      <c r="S13" s="3903"/>
      <c r="T13" s="3546">
        <f>(((N13/B13)^(1/6)-1))</f>
        <v>-1.7111050907951508E-2</v>
      </c>
      <c r="U13" s="4138"/>
      <c r="V13" s="4137">
        <f>(P13-N13)/N13</f>
        <v>4.5468511980826772E-3</v>
      </c>
      <c r="W13" s="4138"/>
      <c r="X13" s="4139">
        <f>(R13-P13)/P13</f>
        <v>8.5790116948840853E-3</v>
      </c>
    </row>
    <row r="14" spans="1:24">
      <c r="A14" s="3734"/>
      <c r="B14" s="33"/>
      <c r="C14" s="34"/>
      <c r="D14" s="35"/>
      <c r="E14" s="34"/>
      <c r="F14" s="35"/>
      <c r="G14" s="34"/>
      <c r="H14" s="35"/>
      <c r="I14" s="34"/>
      <c r="J14" s="35"/>
      <c r="K14" s="34"/>
      <c r="L14" s="35"/>
      <c r="M14" s="34"/>
      <c r="N14" s="35"/>
      <c r="O14" s="34"/>
      <c r="P14" s="3808"/>
      <c r="Q14" s="34"/>
      <c r="R14" s="4133"/>
      <c r="S14" s="3903"/>
      <c r="T14" s="4172"/>
      <c r="U14" s="4138"/>
      <c r="V14" s="4137"/>
      <c r="W14" s="4138"/>
      <c r="X14" s="4139"/>
    </row>
    <row r="15" spans="1:24" ht="13.8" thickBot="1">
      <c r="A15" s="3153" t="s">
        <v>521</v>
      </c>
      <c r="B15" s="4169">
        <f>B32+B49+B66+B83</f>
        <v>5928382</v>
      </c>
      <c r="C15" s="36"/>
      <c r="D15" s="4170">
        <f>D32+D49+D66+D83</f>
        <v>5538373</v>
      </c>
      <c r="E15" s="36"/>
      <c r="F15" s="4170">
        <f>F32+F49+F66+F83</f>
        <v>6291153</v>
      </c>
      <c r="G15" s="36"/>
      <c r="H15" s="4170">
        <f>H32+H49+H66+H83</f>
        <v>6760797</v>
      </c>
      <c r="I15" s="36"/>
      <c r="J15" s="4170">
        <f>J32+J49+J66+J83</f>
        <v>6875149</v>
      </c>
      <c r="K15" s="36"/>
      <c r="L15" s="4170">
        <f>L32+L49+L66+L83</f>
        <v>6512658</v>
      </c>
      <c r="M15" s="36"/>
      <c r="N15" s="4170">
        <f>N32+N49+N66+N83</f>
        <v>6610348</v>
      </c>
      <c r="O15" s="36"/>
      <c r="P15" s="4154">
        <f>P32+P49+P66+P83</f>
        <v>6742555</v>
      </c>
      <c r="Q15" s="36"/>
      <c r="R15" s="4155">
        <f>R32+R49+R66+R83</f>
        <v>6911119</v>
      </c>
      <c r="S15" s="3911"/>
      <c r="T15" s="3556">
        <f>(((N15/B15)^(1/6)-1))</f>
        <v>1.8313162112380432E-2</v>
      </c>
      <c r="U15" s="4167"/>
      <c r="V15" s="4166">
        <f>(P15-N15)/N15</f>
        <v>2.0000006051118641E-2</v>
      </c>
      <c r="W15" s="4167"/>
      <c r="X15" s="4168">
        <f>(R15-P15)/P15</f>
        <v>2.5000018538966311E-2</v>
      </c>
    </row>
    <row r="16" spans="1:24" ht="14.4" thickTop="1" thickBot="1">
      <c r="A16" s="3923" t="s">
        <v>522</v>
      </c>
      <c r="B16" s="3914">
        <f>SUM(B9:B15)</f>
        <v>378500845</v>
      </c>
      <c r="C16" s="3915"/>
      <c r="D16" s="3916">
        <f>SUM(D9:D15)</f>
        <v>386625530</v>
      </c>
      <c r="E16" s="3915"/>
      <c r="F16" s="3916">
        <f>SUM(F9:F15)</f>
        <v>390902084</v>
      </c>
      <c r="G16" s="3915"/>
      <c r="H16" s="3916">
        <f>SUM(H9:H15)</f>
        <v>398142599</v>
      </c>
      <c r="I16" s="3915"/>
      <c r="J16" s="3916">
        <f>SUM(J9:J15)</f>
        <v>404869544</v>
      </c>
      <c r="K16" s="3915"/>
      <c r="L16" s="3916">
        <f>SUM(L9:L15)</f>
        <v>425532818</v>
      </c>
      <c r="M16" s="3915"/>
      <c r="N16" s="3916">
        <f>SUM(N9:N15)</f>
        <v>432958367</v>
      </c>
      <c r="O16" s="3915"/>
      <c r="P16" s="4142">
        <f>SUM(P9:P15)</f>
        <v>441589165</v>
      </c>
      <c r="Q16" s="27"/>
      <c r="R16" s="4143">
        <f>SUM(R9:R15)</f>
        <v>452615170</v>
      </c>
      <c r="S16" s="3915"/>
      <c r="T16" s="4144">
        <f>(((N16/B16)^(1/6)-1))</f>
        <v>2.265672961143439E-2</v>
      </c>
      <c r="U16" s="4145"/>
      <c r="V16" s="4146">
        <f>(P16-N16)/N16</f>
        <v>1.9934475593585192E-2</v>
      </c>
      <c r="W16" s="4145"/>
      <c r="X16" s="4147">
        <f>(R16-P16)/P16</f>
        <v>2.4968921055841576E-2</v>
      </c>
    </row>
    <row r="17" spans="1:24" s="3178" customFormat="1">
      <c r="A17" s="4149"/>
      <c r="B17" s="4152"/>
      <c r="C17" s="4152"/>
      <c r="D17" s="4152"/>
      <c r="E17" s="4152"/>
      <c r="F17" s="4152"/>
      <c r="G17" s="4152"/>
      <c r="H17" s="4152"/>
      <c r="I17" s="4152"/>
      <c r="J17" s="4152"/>
      <c r="K17" s="4152"/>
      <c r="L17" s="4152"/>
      <c r="M17" s="4152"/>
      <c r="N17" s="4152"/>
      <c r="O17" s="4152"/>
      <c r="P17" s="37"/>
      <c r="Q17" s="4151"/>
      <c r="R17" s="37"/>
      <c r="S17" s="4152"/>
      <c r="T17" s="4153"/>
      <c r="U17" s="4153"/>
      <c r="V17" s="4153"/>
      <c r="W17" s="4153"/>
      <c r="X17" s="4153"/>
    </row>
    <row r="18" spans="1:24" s="3178" customFormat="1">
      <c r="A18" s="4149"/>
      <c r="B18" s="4152"/>
      <c r="C18" s="4152"/>
      <c r="D18" s="4152"/>
      <c r="E18" s="4152"/>
      <c r="F18" s="4152"/>
      <c r="G18" s="4152"/>
      <c r="H18" s="4152"/>
      <c r="I18" s="4152"/>
      <c r="J18" s="4152"/>
      <c r="K18" s="4152"/>
      <c r="L18" s="4152"/>
      <c r="M18" s="4152"/>
      <c r="N18" s="4199" t="s">
        <v>782</v>
      </c>
      <c r="O18" s="4199"/>
      <c r="P18" s="4200" t="s">
        <v>783</v>
      </c>
      <c r="Q18" s="4201"/>
      <c r="R18" s="4200" t="s">
        <v>784</v>
      </c>
      <c r="S18" s="4152"/>
      <c r="T18" s="4153"/>
      <c r="U18" s="4153"/>
      <c r="V18" s="4153"/>
      <c r="W18" s="4153"/>
    </row>
    <row r="19" spans="1:24" s="3178" customFormat="1">
      <c r="A19" s="4149" t="s">
        <v>841</v>
      </c>
      <c r="B19" s="4202">
        <f>B16*$X$19</f>
        <v>94625211.25</v>
      </c>
      <c r="C19" s="4202"/>
      <c r="D19" s="4202">
        <f>D16*$X$19</f>
        <v>96656382.5</v>
      </c>
      <c r="E19" s="4202"/>
      <c r="F19" s="4202">
        <f>F16*$X$19</f>
        <v>97725521</v>
      </c>
      <c r="G19" s="4202"/>
      <c r="H19" s="4202">
        <f>H16*$X$19</f>
        <v>99535649.75</v>
      </c>
      <c r="I19" s="4202"/>
      <c r="J19" s="4202">
        <f>J16*$X$19</f>
        <v>101217386</v>
      </c>
      <c r="K19" s="4202"/>
      <c r="L19" s="4202">
        <f>L16*$X$19</f>
        <v>106383204.5</v>
      </c>
      <c r="M19" s="4202"/>
      <c r="N19" s="4202">
        <f>N16*$X$19</f>
        <v>108239591.75</v>
      </c>
      <c r="O19" s="4202"/>
      <c r="P19" s="4203">
        <f>P16*$X$19</f>
        <v>110397291.25</v>
      </c>
      <c r="Q19" s="38"/>
      <c r="R19" s="4203">
        <f>P19-N19</f>
        <v>2157699.5</v>
      </c>
      <c r="S19" s="4152"/>
      <c r="T19" s="4153"/>
      <c r="U19" s="4153"/>
      <c r="V19" s="4153"/>
      <c r="W19" s="4153"/>
      <c r="X19" s="4153">
        <v>0.25</v>
      </c>
    </row>
    <row r="20" spans="1:24" s="3178" customFormat="1">
      <c r="A20" s="4149" t="s">
        <v>785</v>
      </c>
      <c r="B20" s="4152"/>
      <c r="C20" s="4152"/>
      <c r="D20" s="4152"/>
      <c r="E20" s="4152"/>
      <c r="F20" s="4152"/>
      <c r="G20" s="4152"/>
      <c r="H20" s="4152"/>
      <c r="I20" s="4152"/>
      <c r="J20" s="4152"/>
      <c r="K20" s="4152"/>
      <c r="L20" s="4152"/>
      <c r="M20" s="4152"/>
      <c r="N20" s="4152"/>
      <c r="O20" s="4152"/>
      <c r="P20" s="37"/>
      <c r="Q20" s="4151"/>
      <c r="R20" s="4205">
        <f>R19*0.5</f>
        <v>1078849.75</v>
      </c>
      <c r="S20" s="4152"/>
      <c r="T20" s="4153"/>
      <c r="U20" s="4153"/>
      <c r="V20" s="4153"/>
      <c r="W20" s="4153"/>
      <c r="X20" s="4153">
        <v>0</v>
      </c>
    </row>
    <row r="21" spans="1:24" s="3178" customFormat="1">
      <c r="A21" s="4149" t="s">
        <v>786</v>
      </c>
      <c r="B21" s="4152"/>
      <c r="C21" s="4152"/>
      <c r="D21" s="4152"/>
      <c r="E21" s="4152"/>
      <c r="F21" s="4152"/>
      <c r="G21" s="4152"/>
      <c r="H21" s="4152"/>
      <c r="I21" s="4152"/>
      <c r="J21" s="4152"/>
      <c r="K21" s="4152"/>
      <c r="L21" s="4204">
        <f>L19*$X$20</f>
        <v>0</v>
      </c>
      <c r="M21" s="4152"/>
      <c r="N21" s="4152"/>
      <c r="O21" s="4152"/>
      <c r="P21" s="37"/>
      <c r="Q21" s="4151"/>
      <c r="R21" s="37"/>
      <c r="S21" s="4152"/>
      <c r="T21" s="4153"/>
      <c r="U21" s="4153"/>
      <c r="V21" s="4153"/>
      <c r="W21" s="4153"/>
      <c r="X21" s="4153"/>
    </row>
    <row r="22" spans="1:24" ht="13.8" thickBot="1"/>
    <row r="23" spans="1:24" s="3900" customFormat="1">
      <c r="A23" s="114" t="s">
        <v>668</v>
      </c>
      <c r="B23" s="3038" t="s">
        <v>13</v>
      </c>
      <c r="C23" s="3051"/>
      <c r="D23" s="3040" t="s">
        <v>13</v>
      </c>
      <c r="E23" s="3051"/>
      <c r="F23" s="3050" t="s">
        <v>13</v>
      </c>
      <c r="G23" s="3051"/>
      <c r="H23" s="3050" t="s">
        <v>13</v>
      </c>
      <c r="I23" s="3051"/>
      <c r="J23" s="3050" t="s">
        <v>13</v>
      </c>
      <c r="K23" s="3051"/>
      <c r="L23" s="3041" t="s">
        <v>14</v>
      </c>
      <c r="M23" s="3051"/>
      <c r="N23" s="3041" t="s">
        <v>15</v>
      </c>
      <c r="O23" s="3051"/>
      <c r="P23" s="3042" t="s">
        <v>16</v>
      </c>
      <c r="Q23" s="3051"/>
      <c r="R23" s="3044" t="s">
        <v>16</v>
      </c>
      <c r="S23" s="3051"/>
      <c r="T23" s="3077" t="s">
        <v>62</v>
      </c>
      <c r="U23" s="3039"/>
      <c r="V23" s="3081" t="s">
        <v>75</v>
      </c>
      <c r="W23" s="3039"/>
      <c r="X23" s="3079" t="s">
        <v>75</v>
      </c>
    </row>
    <row r="24" spans="1:24" s="3900" customFormat="1" ht="13.8" thickBot="1">
      <c r="A24" s="3052"/>
      <c r="B24" s="3037" t="s">
        <v>3</v>
      </c>
      <c r="C24" s="3053"/>
      <c r="D24" s="3030" t="s">
        <v>4</v>
      </c>
      <c r="E24" s="3053"/>
      <c r="F24" s="3031" t="s">
        <v>5</v>
      </c>
      <c r="G24" s="3053"/>
      <c r="H24" s="3032" t="s">
        <v>6</v>
      </c>
      <c r="I24" s="3053"/>
      <c r="J24" s="3032" t="s">
        <v>7</v>
      </c>
      <c r="K24" s="3053"/>
      <c r="L24" s="3032" t="s">
        <v>8</v>
      </c>
      <c r="M24" s="3053"/>
      <c r="N24" s="3032" t="s">
        <v>9</v>
      </c>
      <c r="O24" s="3053"/>
      <c r="P24" s="3043" t="s">
        <v>10</v>
      </c>
      <c r="Q24" s="3053"/>
      <c r="R24" s="3045" t="s">
        <v>11</v>
      </c>
      <c r="S24" s="3053"/>
      <c r="T24" s="3078" t="s">
        <v>63</v>
      </c>
      <c r="U24" s="3033"/>
      <c r="V24" s="3075" t="s">
        <v>76</v>
      </c>
      <c r="W24" s="3033"/>
      <c r="X24" s="3080" t="s">
        <v>77</v>
      </c>
    </row>
    <row r="25" spans="1:24">
      <c r="A25" s="3731" t="s">
        <v>517</v>
      </c>
      <c r="B25" s="3917"/>
      <c r="C25" s="3918"/>
      <c r="D25" s="3919"/>
      <c r="E25" s="3918"/>
      <c r="F25" s="3919"/>
      <c r="G25" s="3918"/>
      <c r="H25" s="3920"/>
      <c r="I25" s="3918"/>
      <c r="J25" s="3920"/>
      <c r="K25" s="3918"/>
      <c r="L25" s="3920"/>
      <c r="M25" s="3918"/>
      <c r="N25" s="3920"/>
      <c r="O25" s="3918"/>
      <c r="P25" s="3732"/>
      <c r="Q25" s="3918"/>
      <c r="R25" s="3733"/>
      <c r="S25" s="3918"/>
      <c r="T25" s="3921"/>
      <c r="U25" s="3918"/>
      <c r="V25" s="3920"/>
      <c r="W25" s="3918"/>
      <c r="X25" s="3922"/>
    </row>
    <row r="26" spans="1:24" s="2749" customFormat="1">
      <c r="A26" s="3734" t="s">
        <v>518</v>
      </c>
      <c r="B26" s="4131">
        <v>9295990</v>
      </c>
      <c r="C26" s="4132"/>
      <c r="D26" s="3908">
        <v>5143694</v>
      </c>
      <c r="E26" s="4132"/>
      <c r="F26" s="3908">
        <v>7760748</v>
      </c>
      <c r="G26" s="4132"/>
      <c r="H26" s="3908">
        <v>6510883</v>
      </c>
      <c r="I26" s="4132"/>
      <c r="J26" s="3908">
        <v>10238302</v>
      </c>
      <c r="K26" s="4132"/>
      <c r="L26" s="3908">
        <v>14522875</v>
      </c>
      <c r="M26" s="4132"/>
      <c r="N26" s="3908">
        <v>15249019</v>
      </c>
      <c r="O26" s="2696"/>
      <c r="P26" s="3808">
        <v>16011470</v>
      </c>
      <c r="Q26" s="2696"/>
      <c r="R26" s="4133">
        <v>17612617</v>
      </c>
      <c r="S26" s="4132"/>
      <c r="T26" s="3546">
        <f>(((N26/B26)^(1/6)-1))</f>
        <v>8.5986374345296435E-2</v>
      </c>
      <c r="U26" s="4136"/>
      <c r="V26" s="3547">
        <f>(P26-N26)/N26</f>
        <v>5.0000003278899446E-2</v>
      </c>
      <c r="W26" s="4136"/>
      <c r="X26" s="3548">
        <f>(R26-P26)/P26</f>
        <v>0.1</v>
      </c>
    </row>
    <row r="27" spans="1:24" s="2749" customFormat="1">
      <c r="A27" s="3734"/>
      <c r="B27" s="4131"/>
      <c r="C27" s="4132"/>
      <c r="D27" s="3908"/>
      <c r="E27" s="4132"/>
      <c r="F27" s="3908"/>
      <c r="G27" s="4132"/>
      <c r="H27" s="3908"/>
      <c r="I27" s="4132"/>
      <c r="J27" s="3908"/>
      <c r="K27" s="4132"/>
      <c r="L27" s="3908"/>
      <c r="M27" s="4132"/>
      <c r="N27" s="3908"/>
      <c r="O27" s="4132"/>
      <c r="P27" s="3023"/>
      <c r="Q27" s="4132"/>
      <c r="R27" s="3025"/>
      <c r="S27" s="4132"/>
      <c r="T27" s="3907"/>
      <c r="U27" s="4132"/>
      <c r="V27" s="3908"/>
      <c r="W27" s="4132"/>
      <c r="X27" s="3909"/>
    </row>
    <row r="28" spans="1:24" s="2749" customFormat="1">
      <c r="A28" s="3734" t="s">
        <v>519</v>
      </c>
      <c r="B28" s="3902">
        <v>3007526</v>
      </c>
      <c r="C28" s="3903"/>
      <c r="D28" s="3905">
        <v>4602253</v>
      </c>
      <c r="E28" s="3903"/>
      <c r="F28" s="3905">
        <v>7009708</v>
      </c>
      <c r="G28" s="3903"/>
      <c r="H28" s="3905">
        <v>7140969</v>
      </c>
      <c r="I28" s="3903"/>
      <c r="J28" s="3905">
        <v>3772006</v>
      </c>
      <c r="K28" s="3903"/>
      <c r="L28" s="3905">
        <v>5860108</v>
      </c>
      <c r="M28" s="3903"/>
      <c r="N28" s="3905">
        <v>5677009</v>
      </c>
      <c r="O28" s="3903"/>
      <c r="P28" s="3808">
        <v>6244710</v>
      </c>
      <c r="Q28" s="34"/>
      <c r="R28" s="4133">
        <v>7181416</v>
      </c>
      <c r="S28" s="3903"/>
      <c r="T28" s="4134">
        <f>(((N28/B28)^(1/6)-1))</f>
        <v>0.1116934121045432</v>
      </c>
      <c r="U28" s="3903"/>
      <c r="V28" s="4137">
        <f>(P28-N28)/N28</f>
        <v>0.10000001761490954</v>
      </c>
      <c r="W28" s="4138"/>
      <c r="X28" s="4139">
        <f>(R28-P28)/P28</f>
        <v>0.14999991993223064</v>
      </c>
    </row>
    <row r="29" spans="1:24" s="2749" customFormat="1">
      <c r="A29" s="3734"/>
      <c r="B29" s="3902"/>
      <c r="C29" s="3903"/>
      <c r="D29" s="3905"/>
      <c r="E29" s="3903"/>
      <c r="F29" s="3905"/>
      <c r="G29" s="3903"/>
      <c r="H29" s="3905"/>
      <c r="I29" s="3903"/>
      <c r="J29" s="3905"/>
      <c r="K29" s="3903"/>
      <c r="L29" s="3905"/>
      <c r="M29" s="3903"/>
      <c r="N29" s="3905"/>
      <c r="O29" s="3903"/>
      <c r="P29" s="3023"/>
      <c r="Q29" s="3903"/>
      <c r="R29" s="3025"/>
      <c r="S29" s="3903"/>
      <c r="T29" s="3904"/>
      <c r="U29" s="3903"/>
      <c r="V29" s="3905"/>
      <c r="W29" s="3903"/>
      <c r="X29" s="3906"/>
    </row>
    <row r="30" spans="1:24" s="2749" customFormat="1">
      <c r="A30" s="3734" t="s">
        <v>520</v>
      </c>
      <c r="B30" s="3902">
        <v>10663047</v>
      </c>
      <c r="C30" s="3903"/>
      <c r="D30" s="3905">
        <v>8663064</v>
      </c>
      <c r="E30" s="3903"/>
      <c r="F30" s="3905">
        <v>2753814</v>
      </c>
      <c r="G30" s="3903"/>
      <c r="H30" s="3905">
        <v>5460741</v>
      </c>
      <c r="I30" s="3903"/>
      <c r="J30" s="3905">
        <v>6735725</v>
      </c>
      <c r="K30" s="3903"/>
      <c r="L30" s="3905">
        <v>2802660</v>
      </c>
      <c r="M30" s="3903"/>
      <c r="N30" s="3905">
        <v>5283201</v>
      </c>
      <c r="O30" s="3903"/>
      <c r="P30" s="3808">
        <v>5547361</v>
      </c>
      <c r="Q30" s="34"/>
      <c r="R30" s="4133">
        <v>6102097</v>
      </c>
      <c r="S30" s="3903"/>
      <c r="T30" s="4134">
        <f>(((N30/B30)^(1/6)-1))</f>
        <v>-0.11045217586043488</v>
      </c>
      <c r="U30" s="3903"/>
      <c r="V30" s="4137">
        <f>(P30-N30)/N30</f>
        <v>4.9999990536040553E-2</v>
      </c>
      <c r="W30" s="4138"/>
      <c r="X30" s="4139">
        <f>(R30-P30)/P30</f>
        <v>9.9999981973410423E-2</v>
      </c>
    </row>
    <row r="31" spans="1:24" s="2749" customFormat="1">
      <c r="A31" s="3734"/>
      <c r="B31" s="3902"/>
      <c r="C31" s="3903"/>
      <c r="D31" s="3905"/>
      <c r="E31" s="3903"/>
      <c r="F31" s="3905"/>
      <c r="G31" s="3903"/>
      <c r="H31" s="3905"/>
      <c r="I31" s="3903"/>
      <c r="J31" s="3905"/>
      <c r="K31" s="3903"/>
      <c r="L31" s="3905"/>
      <c r="M31" s="3903"/>
      <c r="N31" s="3905"/>
      <c r="O31" s="3903"/>
      <c r="P31" s="3023"/>
      <c r="Q31" s="3903"/>
      <c r="R31" s="3025"/>
      <c r="S31" s="3903"/>
      <c r="T31" s="3904"/>
      <c r="U31" s="3903"/>
      <c r="V31" s="3905"/>
      <c r="W31" s="3903"/>
      <c r="X31" s="3906"/>
    </row>
    <row r="32" spans="1:24" s="2749" customFormat="1" ht="13.8" thickBot="1">
      <c r="A32" s="3153" t="s">
        <v>521</v>
      </c>
      <c r="B32" s="3910"/>
      <c r="C32" s="3911"/>
      <c r="D32" s="3912"/>
      <c r="E32" s="3911"/>
      <c r="F32" s="3912"/>
      <c r="G32" s="3911"/>
      <c r="H32" s="3912"/>
      <c r="I32" s="3911"/>
      <c r="J32" s="3912"/>
      <c r="K32" s="3911"/>
      <c r="L32" s="3912"/>
      <c r="M32" s="3911"/>
      <c r="N32" s="3912"/>
      <c r="O32" s="3911"/>
      <c r="P32" s="3026"/>
      <c r="Q32" s="3911"/>
      <c r="R32" s="3027"/>
      <c r="S32" s="3911"/>
      <c r="T32" s="4135" t="e">
        <f>(((N32/B32)^(1/6)-1))</f>
        <v>#DIV/0!</v>
      </c>
      <c r="U32" s="3911"/>
      <c r="V32" s="3912" t="e">
        <f>(P32-N32)/N32</f>
        <v>#DIV/0!</v>
      </c>
      <c r="W32" s="3911"/>
      <c r="X32" s="3913" t="e">
        <f>(R32-P32)/P32</f>
        <v>#DIV/0!</v>
      </c>
    </row>
    <row r="33" spans="1:25" ht="14.4" thickTop="1" thickBot="1">
      <c r="A33" s="3923" t="s">
        <v>522</v>
      </c>
      <c r="B33" s="4140">
        <f>SUM(B26:B32)</f>
        <v>22966563</v>
      </c>
      <c r="C33" s="27"/>
      <c r="D33" s="4141">
        <f>SUM(D26:D32)</f>
        <v>18409011</v>
      </c>
      <c r="E33" s="27"/>
      <c r="F33" s="4141">
        <f>SUM(F26:F32)</f>
        <v>17524270</v>
      </c>
      <c r="G33" s="27"/>
      <c r="H33" s="4141">
        <f>SUM(H26:H32)</f>
        <v>19112593</v>
      </c>
      <c r="I33" s="27"/>
      <c r="J33" s="4141">
        <f>SUM(J26:J32)</f>
        <v>20746033</v>
      </c>
      <c r="K33" s="27"/>
      <c r="L33" s="4141">
        <f>SUM(L26:L32)</f>
        <v>23185643</v>
      </c>
      <c r="M33" s="27"/>
      <c r="N33" s="4141">
        <f>SUM(N26:N32)</f>
        <v>26209229</v>
      </c>
      <c r="O33" s="27"/>
      <c r="P33" s="4142">
        <f>SUM(P26:P32)</f>
        <v>27803541</v>
      </c>
      <c r="Q33" s="27"/>
      <c r="R33" s="4143">
        <f>SUM(R26:R32)</f>
        <v>30896130</v>
      </c>
      <c r="S33" s="3915"/>
      <c r="T33" s="4144">
        <f>(((N33/B33)^(1/6)-1))</f>
        <v>2.225608982042826E-2</v>
      </c>
      <c r="U33" s="4145"/>
      <c r="V33" s="4146">
        <f>(P33-N33)/N33</f>
        <v>6.083017550802429E-2</v>
      </c>
      <c r="W33" s="4145"/>
      <c r="X33" s="4147">
        <f>(R33-P33)/P33</f>
        <v>0.11123004080667279</v>
      </c>
    </row>
    <row r="34" spans="1:25" s="3178" customFormat="1">
      <c r="A34" s="4149"/>
      <c r="B34" s="4152"/>
      <c r="C34" s="4152"/>
      <c r="D34" s="4152"/>
      <c r="E34" s="4152"/>
      <c r="F34" s="4152"/>
      <c r="G34" s="4152"/>
      <c r="H34" s="4152"/>
      <c r="I34" s="4152"/>
      <c r="J34" s="4152"/>
      <c r="K34" s="4152"/>
      <c r="L34" s="4152"/>
      <c r="M34" s="4152"/>
      <c r="N34" s="4152"/>
      <c r="O34" s="4152"/>
      <c r="P34" s="37"/>
      <c r="Q34" s="4151"/>
      <c r="R34" s="37"/>
      <c r="S34" s="4152"/>
      <c r="T34" s="4153"/>
      <c r="U34" s="4153"/>
      <c r="V34" s="4153"/>
      <c r="W34" s="4153"/>
      <c r="X34" s="4153"/>
    </row>
    <row r="35" spans="1:25" s="3178" customFormat="1">
      <c r="A35" s="4149"/>
      <c r="B35" s="4152"/>
      <c r="C35" s="4152"/>
      <c r="D35" s="4152"/>
      <c r="E35" s="4152"/>
      <c r="F35" s="4152"/>
      <c r="G35" s="4152"/>
      <c r="H35" s="4152"/>
      <c r="I35" s="4152"/>
      <c r="J35" s="4152"/>
      <c r="K35" s="4152"/>
      <c r="L35" s="4152"/>
      <c r="M35" s="4152"/>
      <c r="N35" s="4199" t="s">
        <v>782</v>
      </c>
      <c r="O35" s="4199"/>
      <c r="P35" s="4200" t="s">
        <v>783</v>
      </c>
      <c r="Q35" s="4201"/>
      <c r="R35" s="4200" t="s">
        <v>784</v>
      </c>
      <c r="S35" s="4152"/>
      <c r="T35" s="4153"/>
      <c r="U35" s="4153"/>
      <c r="V35" s="4153"/>
      <c r="W35" s="4153"/>
      <c r="X35" s="4153"/>
    </row>
    <row r="36" spans="1:25" s="3178" customFormat="1">
      <c r="A36" s="4149" t="s">
        <v>841</v>
      </c>
      <c r="B36" s="4202">
        <f>B33*$X$19</f>
        <v>5741640.75</v>
      </c>
      <c r="C36" s="4202"/>
      <c r="D36" s="4202">
        <f>D33*$X$19</f>
        <v>4602252.75</v>
      </c>
      <c r="E36" s="4202"/>
      <c r="F36" s="4202">
        <f>F33*$X$19</f>
        <v>4381067.5</v>
      </c>
      <c r="G36" s="4202"/>
      <c r="H36" s="4202">
        <f>H33*$X$19</f>
        <v>4778148.25</v>
      </c>
      <c r="I36" s="4202"/>
      <c r="J36" s="4202">
        <f>J33*$X$19</f>
        <v>5186508.25</v>
      </c>
      <c r="K36" s="4202"/>
      <c r="L36" s="4202">
        <f>L33*$X$19</f>
        <v>5796410.75</v>
      </c>
      <c r="M36" s="4202"/>
      <c r="N36" s="4202">
        <f>N33*$X$19</f>
        <v>6552307.25</v>
      </c>
      <c r="O36" s="4202"/>
      <c r="P36" s="4203">
        <f>P33*$X$19</f>
        <v>6950885.25</v>
      </c>
      <c r="Q36" s="38"/>
      <c r="R36" s="4203">
        <f>P36-N36</f>
        <v>398578</v>
      </c>
      <c r="S36" s="4152"/>
      <c r="T36" s="4153"/>
      <c r="U36" s="4153"/>
      <c r="V36" s="4153"/>
      <c r="W36" s="4153"/>
      <c r="X36" s="4153"/>
    </row>
    <row r="37" spans="1:25" s="3178" customFormat="1">
      <c r="A37" s="4149" t="s">
        <v>785</v>
      </c>
      <c r="B37" s="4152"/>
      <c r="C37" s="4152"/>
      <c r="D37" s="4152"/>
      <c r="E37" s="4152"/>
      <c r="F37" s="4152"/>
      <c r="G37" s="4152"/>
      <c r="H37" s="4152"/>
      <c r="I37" s="4152"/>
      <c r="J37" s="4152"/>
      <c r="K37" s="4152"/>
      <c r="L37" s="4152"/>
      <c r="M37" s="4152"/>
      <c r="N37" s="4152"/>
      <c r="O37" s="4152"/>
      <c r="P37" s="37"/>
      <c r="Q37" s="4151"/>
      <c r="R37" s="4205">
        <f>R36*0.5</f>
        <v>199289</v>
      </c>
      <c r="S37" s="4152"/>
      <c r="T37" s="4153"/>
      <c r="U37" s="4153"/>
      <c r="V37" s="4153"/>
      <c r="W37" s="4153"/>
      <c r="X37" s="4153"/>
    </row>
    <row r="38" spans="1:25" s="3178" customFormat="1">
      <c r="A38" s="4149" t="s">
        <v>786</v>
      </c>
      <c r="B38" s="4152"/>
      <c r="C38" s="4152"/>
      <c r="D38" s="4152"/>
      <c r="E38" s="4152"/>
      <c r="F38" s="4152"/>
      <c r="G38" s="4152"/>
      <c r="H38" s="4152"/>
      <c r="I38" s="4152"/>
      <c r="J38" s="4152"/>
      <c r="K38" s="4152"/>
      <c r="L38" s="4204">
        <f>L36*$X$20</f>
        <v>0</v>
      </c>
      <c r="M38" s="4152"/>
      <c r="N38" s="4152"/>
      <c r="O38" s="4152"/>
      <c r="P38" s="37"/>
      <c r="Q38" s="4151"/>
      <c r="R38" s="37"/>
      <c r="S38" s="4152"/>
      <c r="T38" s="4153"/>
      <c r="U38" s="4153"/>
      <c r="V38" s="4153"/>
      <c r="W38" s="4153"/>
      <c r="X38" s="4153"/>
    </row>
    <row r="39" spans="1:25" ht="13.8" thickBot="1">
      <c r="A39" s="4149"/>
      <c r="B39" s="4150"/>
      <c r="C39" s="4151"/>
      <c r="D39" s="4151"/>
      <c r="E39" s="4151"/>
      <c r="F39" s="4151"/>
      <c r="G39" s="4151"/>
      <c r="H39" s="4151"/>
      <c r="I39" s="4151"/>
      <c r="J39" s="4151"/>
      <c r="K39" s="4151"/>
      <c r="L39" s="4151"/>
      <c r="M39" s="4151"/>
      <c r="N39" s="4151"/>
      <c r="O39" s="4151"/>
      <c r="P39" s="37"/>
      <c r="Q39" s="4151"/>
      <c r="R39" s="37"/>
      <c r="S39" s="4152"/>
      <c r="T39" s="4153"/>
      <c r="U39" s="4153"/>
      <c r="V39" s="4153"/>
      <c r="W39" s="4153"/>
      <c r="X39" s="4153"/>
      <c r="Y39" s="3178"/>
    </row>
    <row r="40" spans="1:25" s="3900" customFormat="1">
      <c r="A40" s="114" t="s">
        <v>736</v>
      </c>
      <c r="B40" s="3038" t="s">
        <v>13</v>
      </c>
      <c r="C40" s="3051"/>
      <c r="D40" s="3040" t="s">
        <v>13</v>
      </c>
      <c r="E40" s="3051"/>
      <c r="F40" s="3050" t="s">
        <v>13</v>
      </c>
      <c r="G40" s="3051"/>
      <c r="H40" s="3050" t="s">
        <v>13</v>
      </c>
      <c r="I40" s="3051"/>
      <c r="J40" s="3050" t="s">
        <v>13</v>
      </c>
      <c r="K40" s="3051"/>
      <c r="L40" s="3041" t="s">
        <v>14</v>
      </c>
      <c r="M40" s="3051"/>
      <c r="N40" s="3041" t="s">
        <v>15</v>
      </c>
      <c r="O40" s="3051"/>
      <c r="P40" s="3042" t="s">
        <v>16</v>
      </c>
      <c r="Q40" s="3051"/>
      <c r="R40" s="3044" t="s">
        <v>16</v>
      </c>
      <c r="S40" s="3051"/>
      <c r="T40" s="3077" t="s">
        <v>62</v>
      </c>
      <c r="U40" s="3039"/>
      <c r="V40" s="3081" t="s">
        <v>75</v>
      </c>
      <c r="W40" s="3039"/>
      <c r="X40" s="3079" t="s">
        <v>75</v>
      </c>
    </row>
    <row r="41" spans="1:25" s="3900" customFormat="1" ht="13.8" thickBot="1">
      <c r="A41" s="3052"/>
      <c r="B41" s="3037" t="s">
        <v>3</v>
      </c>
      <c r="C41" s="3053"/>
      <c r="D41" s="3030" t="s">
        <v>4</v>
      </c>
      <c r="E41" s="3053"/>
      <c r="F41" s="3031" t="s">
        <v>5</v>
      </c>
      <c r="G41" s="3053"/>
      <c r="H41" s="3032" t="s">
        <v>6</v>
      </c>
      <c r="I41" s="3053"/>
      <c r="J41" s="3032" t="s">
        <v>7</v>
      </c>
      <c r="K41" s="3053"/>
      <c r="L41" s="3032" t="s">
        <v>8</v>
      </c>
      <c r="M41" s="3053"/>
      <c r="N41" s="3032" t="s">
        <v>9</v>
      </c>
      <c r="O41" s="3053"/>
      <c r="P41" s="3043" t="s">
        <v>10</v>
      </c>
      <c r="Q41" s="3053"/>
      <c r="R41" s="3045" t="s">
        <v>11</v>
      </c>
      <c r="S41" s="3053"/>
      <c r="T41" s="3078" t="s">
        <v>63</v>
      </c>
      <c r="U41" s="3033"/>
      <c r="V41" s="3075" t="s">
        <v>76</v>
      </c>
      <c r="W41" s="3033"/>
      <c r="X41" s="3080" t="s">
        <v>77</v>
      </c>
    </row>
    <row r="42" spans="1:25">
      <c r="A42" s="3731" t="s">
        <v>517</v>
      </c>
      <c r="B42" s="3917"/>
      <c r="C42" s="3918"/>
      <c r="D42" s="3919"/>
      <c r="E42" s="3918"/>
      <c r="F42" s="3919"/>
      <c r="G42" s="3918"/>
      <c r="H42" s="3920"/>
      <c r="I42" s="3918"/>
      <c r="J42" s="3920"/>
      <c r="K42" s="3918"/>
      <c r="L42" s="3920"/>
      <c r="M42" s="3918"/>
      <c r="N42" s="3920"/>
      <c r="O42" s="3918"/>
      <c r="P42" s="3732"/>
      <c r="Q42" s="3918"/>
      <c r="R42" s="3733"/>
      <c r="S42" s="3918"/>
      <c r="T42" s="3921"/>
      <c r="U42" s="3918"/>
      <c r="V42" s="3920"/>
      <c r="W42" s="3918"/>
      <c r="X42" s="3922"/>
    </row>
    <row r="43" spans="1:25" s="2749" customFormat="1">
      <c r="A43" s="3734" t="s">
        <v>518</v>
      </c>
      <c r="B43" s="4131">
        <v>124136084</v>
      </c>
      <c r="C43" s="4132"/>
      <c r="D43" s="3908">
        <v>129056826</v>
      </c>
      <c r="E43" s="4132"/>
      <c r="F43" s="3908">
        <v>130164298</v>
      </c>
      <c r="G43" s="4132"/>
      <c r="H43" s="3908">
        <v>145533002</v>
      </c>
      <c r="I43" s="4132"/>
      <c r="J43" s="3908">
        <v>148228085</v>
      </c>
      <c r="K43" s="4132"/>
      <c r="L43" s="3908">
        <v>154501301</v>
      </c>
      <c r="M43" s="4132"/>
      <c r="N43" s="3908">
        <v>156853041</v>
      </c>
      <c r="O43" s="2696"/>
      <c r="P43" s="3808">
        <v>159990102</v>
      </c>
      <c r="Q43" s="2696"/>
      <c r="R43" s="4133">
        <v>163954251</v>
      </c>
      <c r="S43" s="4132"/>
      <c r="T43" s="3546">
        <f>(((N43/B43)^(1/6)-1))</f>
        <v>3.9758510231846067E-2</v>
      </c>
      <c r="U43" s="4136"/>
      <c r="V43" s="3547">
        <f>(P43-N43)/N43</f>
        <v>2.0000001147570994E-2</v>
      </c>
      <c r="W43" s="4136"/>
      <c r="X43" s="3548">
        <f>(R43-P43)/P43</f>
        <v>2.4777464045869536E-2</v>
      </c>
    </row>
    <row r="44" spans="1:25" s="2749" customFormat="1">
      <c r="A44" s="3734"/>
      <c r="B44" s="4131"/>
      <c r="C44" s="4132"/>
      <c r="D44" s="3908"/>
      <c r="E44" s="4132"/>
      <c r="F44" s="3908"/>
      <c r="G44" s="4132"/>
      <c r="H44" s="3908"/>
      <c r="I44" s="4132"/>
      <c r="J44" s="3908"/>
      <c r="K44" s="4132"/>
      <c r="L44" s="3908"/>
      <c r="M44" s="4132"/>
      <c r="N44" s="3908"/>
      <c r="O44" s="4132"/>
      <c r="P44" s="3023"/>
      <c r="Q44" s="4132"/>
      <c r="R44" s="3025"/>
      <c r="S44" s="4132"/>
      <c r="T44" s="4156"/>
      <c r="U44" s="4136"/>
      <c r="V44" s="4157"/>
      <c r="W44" s="4136"/>
      <c r="X44" s="4158"/>
    </row>
    <row r="45" spans="1:25" s="2749" customFormat="1">
      <c r="A45" s="3734" t="s">
        <v>519</v>
      </c>
      <c r="B45" s="3902">
        <v>23139002</v>
      </c>
      <c r="C45" s="3903"/>
      <c r="D45" s="3905">
        <v>24489862</v>
      </c>
      <c r="E45" s="3903"/>
      <c r="F45" s="3905">
        <v>26826282</v>
      </c>
      <c r="G45" s="3903"/>
      <c r="H45" s="3905">
        <v>24306883</v>
      </c>
      <c r="I45" s="3903"/>
      <c r="J45" s="3905">
        <v>22482257</v>
      </c>
      <c r="K45" s="3903"/>
      <c r="L45" s="3905">
        <v>28575910</v>
      </c>
      <c r="M45" s="3903"/>
      <c r="N45" s="3905">
        <v>29004549</v>
      </c>
      <c r="O45" s="3903"/>
      <c r="P45" s="3808">
        <v>29584640</v>
      </c>
      <c r="Q45" s="34"/>
      <c r="R45" s="4133">
        <v>30324256</v>
      </c>
      <c r="S45" s="3903"/>
      <c r="T45" s="4159">
        <f>(((N45/B45)^(1/6)-1))</f>
        <v>3.837346677764919E-2</v>
      </c>
      <c r="U45" s="4160"/>
      <c r="V45" s="4137">
        <f>(P45-N45)/N45</f>
        <v>2.000000068954701E-2</v>
      </c>
      <c r="W45" s="4138"/>
      <c r="X45" s="4139">
        <f>(R45-P45)/P45</f>
        <v>2.5000000000000001E-2</v>
      </c>
    </row>
    <row r="46" spans="1:25" s="2749" customFormat="1">
      <c r="A46" s="3734"/>
      <c r="B46" s="3902"/>
      <c r="C46" s="3903"/>
      <c r="D46" s="3905"/>
      <c r="E46" s="3903"/>
      <c r="F46" s="3905"/>
      <c r="G46" s="3903"/>
      <c r="H46" s="3905"/>
      <c r="I46" s="3903"/>
      <c r="J46" s="3905"/>
      <c r="K46" s="3903"/>
      <c r="L46" s="3905"/>
      <c r="M46" s="3903"/>
      <c r="N46" s="3905"/>
      <c r="O46" s="3903"/>
      <c r="P46" s="3023"/>
      <c r="Q46" s="3903"/>
      <c r="R46" s="3025"/>
      <c r="S46" s="3903"/>
      <c r="T46" s="4161"/>
      <c r="U46" s="4160"/>
      <c r="V46" s="4162"/>
      <c r="W46" s="4160"/>
      <c r="X46" s="4163"/>
    </row>
    <row r="47" spans="1:25" s="2749" customFormat="1">
      <c r="A47" s="3734" t="s">
        <v>520</v>
      </c>
      <c r="B47" s="3902">
        <v>18401793</v>
      </c>
      <c r="C47" s="3903"/>
      <c r="D47" s="3905">
        <v>20729589</v>
      </c>
      <c r="E47" s="3903"/>
      <c r="F47" s="3905">
        <v>18851012</v>
      </c>
      <c r="G47" s="3903"/>
      <c r="H47" s="3905">
        <v>15532239</v>
      </c>
      <c r="I47" s="3903"/>
      <c r="J47" s="3905">
        <v>16106322</v>
      </c>
      <c r="K47" s="3903"/>
      <c r="L47" s="3905">
        <v>15761820</v>
      </c>
      <c r="M47" s="3903"/>
      <c r="N47" s="3905">
        <v>15826200</v>
      </c>
      <c r="O47" s="3903"/>
      <c r="P47" s="3808">
        <v>15913327</v>
      </c>
      <c r="Q47" s="34"/>
      <c r="R47" s="4133">
        <v>16024414</v>
      </c>
      <c r="S47" s="3903"/>
      <c r="T47" s="4159">
        <f>(((N47/B47)^(1/6)-1))</f>
        <v>-2.481708309351971E-2</v>
      </c>
      <c r="U47" s="4160"/>
      <c r="V47" s="4137">
        <f>(P47-N47)/N47</f>
        <v>5.5052381493978344E-3</v>
      </c>
      <c r="W47" s="4138"/>
      <c r="X47" s="4139">
        <f>(R47-P47)/P47</f>
        <v>6.9807526735295514E-3</v>
      </c>
    </row>
    <row r="48" spans="1:25" s="2749" customFormat="1">
      <c r="A48" s="3734"/>
      <c r="B48" s="3902"/>
      <c r="C48" s="3903"/>
      <c r="D48" s="3905"/>
      <c r="E48" s="3903"/>
      <c r="F48" s="3905"/>
      <c r="G48" s="3903"/>
      <c r="H48" s="3905"/>
      <c r="I48" s="3903"/>
      <c r="J48" s="3905"/>
      <c r="K48" s="3903"/>
      <c r="L48" s="3905"/>
      <c r="M48" s="3903"/>
      <c r="N48" s="3905"/>
      <c r="O48" s="3903"/>
      <c r="P48" s="3023"/>
      <c r="Q48" s="3903"/>
      <c r="R48" s="3025"/>
      <c r="S48" s="3903"/>
      <c r="T48" s="4161"/>
      <c r="U48" s="4160"/>
      <c r="V48" s="4162"/>
      <c r="W48" s="4160"/>
      <c r="X48" s="4163"/>
    </row>
    <row r="49" spans="1:24" s="2749" customFormat="1" ht="13.8" thickBot="1">
      <c r="A49" s="3153" t="s">
        <v>521</v>
      </c>
      <c r="B49" s="3910">
        <v>5928382</v>
      </c>
      <c r="C49" s="3911"/>
      <c r="D49" s="3912">
        <v>5538373</v>
      </c>
      <c r="E49" s="3911"/>
      <c r="F49" s="3912">
        <v>6291153</v>
      </c>
      <c r="G49" s="3911"/>
      <c r="H49" s="3912">
        <v>6760797</v>
      </c>
      <c r="I49" s="3911"/>
      <c r="J49" s="3912">
        <v>6875149</v>
      </c>
      <c r="K49" s="3911"/>
      <c r="L49" s="3912">
        <v>6512658</v>
      </c>
      <c r="M49" s="3911"/>
      <c r="N49" s="3912">
        <v>6610348</v>
      </c>
      <c r="O49" s="3911"/>
      <c r="P49" s="4154">
        <v>6742555</v>
      </c>
      <c r="Q49" s="36"/>
      <c r="R49" s="4155">
        <v>6911119</v>
      </c>
      <c r="S49" s="3911"/>
      <c r="T49" s="4164">
        <f>(((N49/B49)^(1/6)-1))</f>
        <v>1.8313162112380432E-2</v>
      </c>
      <c r="U49" s="4165"/>
      <c r="V49" s="4166">
        <f>(P49-N49)/N49</f>
        <v>2.0000006051118641E-2</v>
      </c>
      <c r="W49" s="4167"/>
      <c r="X49" s="4168">
        <f>(R49-P49)/P49</f>
        <v>2.5000018538966311E-2</v>
      </c>
    </row>
    <row r="50" spans="1:24" ht="14.4" thickTop="1" thickBot="1">
      <c r="A50" s="3923" t="s">
        <v>522</v>
      </c>
      <c r="B50" s="4140">
        <f>SUM(B43:B49)</f>
        <v>171605261</v>
      </c>
      <c r="C50" s="27"/>
      <c r="D50" s="4141">
        <f>SUM(D43:D49)</f>
        <v>179814650</v>
      </c>
      <c r="E50" s="27"/>
      <c r="F50" s="4141">
        <f>SUM(F43:F49)</f>
        <v>182132745</v>
      </c>
      <c r="G50" s="27"/>
      <c r="H50" s="4141">
        <f>SUM(H43:H49)</f>
        <v>192132921</v>
      </c>
      <c r="I50" s="27"/>
      <c r="J50" s="4141">
        <f>SUM(J43:J49)</f>
        <v>193691813</v>
      </c>
      <c r="K50" s="27"/>
      <c r="L50" s="4141">
        <f>SUM(L43:L49)</f>
        <v>205351689</v>
      </c>
      <c r="M50" s="27"/>
      <c r="N50" s="4141">
        <f>SUM(N43:N49)</f>
        <v>208294138</v>
      </c>
      <c r="O50" s="27"/>
      <c r="P50" s="4142">
        <f>SUM(P43:P49)</f>
        <v>212230624</v>
      </c>
      <c r="Q50" s="27"/>
      <c r="R50" s="4143">
        <f>SUM(R43:R49)</f>
        <v>217214040</v>
      </c>
      <c r="S50" s="3915"/>
      <c r="T50" s="4144">
        <f>(((N50/B50)^(1/6)-1))</f>
        <v>3.2819450797863636E-2</v>
      </c>
      <c r="U50" s="4145"/>
      <c r="V50" s="4146">
        <f>(P50-N50)/N50</f>
        <v>1.8898688353870045E-2</v>
      </c>
      <c r="W50" s="4145"/>
      <c r="X50" s="4147">
        <f>(R50-P50)/P50</f>
        <v>2.348113531438328E-2</v>
      </c>
    </row>
    <row r="51" spans="1:24" s="3178" customFormat="1">
      <c r="A51" s="4149"/>
      <c r="B51" s="4151"/>
      <c r="C51" s="4151"/>
      <c r="D51" s="4151"/>
      <c r="E51" s="4151"/>
      <c r="F51" s="4151"/>
      <c r="G51" s="4151"/>
      <c r="H51" s="4151"/>
      <c r="I51" s="4151"/>
      <c r="J51" s="4151"/>
      <c r="K51" s="4151"/>
      <c r="L51" s="4151"/>
      <c r="M51" s="4151"/>
      <c r="N51" s="4151"/>
      <c r="O51" s="4151"/>
      <c r="P51" s="37"/>
      <c r="Q51" s="4151"/>
      <c r="R51" s="37"/>
      <c r="S51" s="4152"/>
      <c r="T51" s="4153"/>
      <c r="U51" s="4153"/>
      <c r="V51" s="4153"/>
      <c r="W51" s="4153"/>
      <c r="X51" s="4153"/>
    </row>
    <row r="52" spans="1:24" s="3178" customFormat="1">
      <c r="A52" s="4149"/>
      <c r="B52" s="4152"/>
      <c r="C52" s="4152"/>
      <c r="D52" s="4152"/>
      <c r="E52" s="4152"/>
      <c r="F52" s="4152"/>
      <c r="G52" s="4152"/>
      <c r="H52" s="4152"/>
      <c r="I52" s="4152"/>
      <c r="J52" s="4152"/>
      <c r="K52" s="4152"/>
      <c r="L52" s="4152"/>
      <c r="M52" s="4152"/>
      <c r="N52" s="4199" t="s">
        <v>782</v>
      </c>
      <c r="O52" s="4199"/>
      <c r="P52" s="4200" t="s">
        <v>783</v>
      </c>
      <c r="Q52" s="4201"/>
      <c r="R52" s="4200" t="s">
        <v>784</v>
      </c>
      <c r="S52" s="4152"/>
      <c r="T52" s="4153"/>
      <c r="U52" s="4153"/>
      <c r="V52" s="4153"/>
      <c r="W52" s="4153"/>
      <c r="X52" s="4153"/>
    </row>
    <row r="53" spans="1:24" s="3178" customFormat="1">
      <c r="A53" s="4149" t="s">
        <v>841</v>
      </c>
      <c r="B53" s="4202">
        <f>B50*$X$19</f>
        <v>42901315.25</v>
      </c>
      <c r="C53" s="4202"/>
      <c r="D53" s="4202">
        <f>D50*$X$19</f>
        <v>44953662.5</v>
      </c>
      <c r="E53" s="4202"/>
      <c r="F53" s="4202">
        <f>F50*$X$19</f>
        <v>45533186.25</v>
      </c>
      <c r="G53" s="4202"/>
      <c r="H53" s="4202">
        <f>H50*$X$19</f>
        <v>48033230.25</v>
      </c>
      <c r="I53" s="4202"/>
      <c r="J53" s="4202">
        <f>J50*$X$19</f>
        <v>48422953.25</v>
      </c>
      <c r="K53" s="4202"/>
      <c r="L53" s="4202">
        <f>L50*$X$19</f>
        <v>51337922.25</v>
      </c>
      <c r="M53" s="4202"/>
      <c r="N53" s="4202">
        <f>N50*$X$19</f>
        <v>52073534.5</v>
      </c>
      <c r="O53" s="4202"/>
      <c r="P53" s="4203">
        <f>P50*$X$19</f>
        <v>53057656</v>
      </c>
      <c r="Q53" s="38"/>
      <c r="R53" s="4203">
        <f>P53-N53</f>
        <v>984121.5</v>
      </c>
      <c r="S53" s="4152"/>
      <c r="T53" s="4153"/>
      <c r="U53" s="4153"/>
      <c r="V53" s="4153"/>
      <c r="W53" s="4153"/>
      <c r="X53" s="4153"/>
    </row>
    <row r="54" spans="1:24" s="3178" customFormat="1">
      <c r="A54" s="4149" t="s">
        <v>785</v>
      </c>
      <c r="B54" s="4152"/>
      <c r="C54" s="4152"/>
      <c r="D54" s="4152"/>
      <c r="E54" s="4152"/>
      <c r="F54" s="4152"/>
      <c r="G54" s="4152"/>
      <c r="H54" s="4152"/>
      <c r="I54" s="4152"/>
      <c r="J54" s="4152"/>
      <c r="K54" s="4152"/>
      <c r="L54" s="4152"/>
      <c r="M54" s="4152"/>
      <c r="N54" s="4152"/>
      <c r="O54" s="4152"/>
      <c r="P54" s="37"/>
      <c r="Q54" s="4151"/>
      <c r="R54" s="4205">
        <f>R53*0.5</f>
        <v>492060.75</v>
      </c>
      <c r="S54" s="4152"/>
      <c r="T54" s="4153"/>
      <c r="U54" s="4153"/>
      <c r="V54" s="4153"/>
      <c r="W54" s="4153"/>
      <c r="X54" s="4153"/>
    </row>
    <row r="55" spans="1:24" s="3178" customFormat="1">
      <c r="A55" s="4149" t="s">
        <v>786</v>
      </c>
      <c r="B55" s="4152"/>
      <c r="C55" s="4152"/>
      <c r="D55" s="4152"/>
      <c r="E55" s="4152"/>
      <c r="F55" s="4152"/>
      <c r="G55" s="4152"/>
      <c r="H55" s="4152"/>
      <c r="I55" s="4152"/>
      <c r="J55" s="4152"/>
      <c r="K55" s="4152"/>
      <c r="L55" s="4204">
        <f>L53*$X$20</f>
        <v>0</v>
      </c>
      <c r="M55" s="4152"/>
      <c r="N55" s="4152"/>
      <c r="O55" s="4152"/>
      <c r="P55" s="37"/>
      <c r="Q55" s="4151"/>
      <c r="R55" s="37"/>
      <c r="S55" s="4152"/>
      <c r="T55" s="4153"/>
      <c r="U55" s="4153"/>
      <c r="V55" s="4153"/>
      <c r="W55" s="4153"/>
      <c r="X55" s="4153"/>
    </row>
    <row r="56" spans="1:24" ht="13.8" thickBot="1">
      <c r="A56" s="4149"/>
      <c r="B56" s="4151"/>
      <c r="C56" s="4151"/>
      <c r="D56" s="4151"/>
      <c r="E56" s="4151"/>
      <c r="F56" s="4151"/>
      <c r="G56" s="4151"/>
      <c r="H56" s="4151"/>
      <c r="I56" s="4151"/>
      <c r="J56" s="4151"/>
      <c r="K56" s="4151"/>
      <c r="L56" s="4151"/>
      <c r="M56" s="4151"/>
      <c r="N56" s="4151"/>
      <c r="O56" s="4151"/>
      <c r="P56" s="37"/>
      <c r="Q56" s="4151"/>
      <c r="R56" s="37"/>
      <c r="S56" s="4152"/>
      <c r="T56" s="4153"/>
      <c r="U56" s="4153"/>
      <c r="V56" s="4153"/>
      <c r="W56" s="4153"/>
      <c r="X56" s="4153"/>
    </row>
    <row r="57" spans="1:24" s="3900" customFormat="1">
      <c r="A57" s="114" t="s">
        <v>747</v>
      </c>
      <c r="B57" s="3038" t="s">
        <v>13</v>
      </c>
      <c r="C57" s="3051"/>
      <c r="D57" s="3040" t="s">
        <v>13</v>
      </c>
      <c r="E57" s="3051"/>
      <c r="F57" s="3050" t="s">
        <v>13</v>
      </c>
      <c r="G57" s="3051"/>
      <c r="H57" s="3050" t="s">
        <v>13</v>
      </c>
      <c r="I57" s="3051"/>
      <c r="J57" s="3050" t="s">
        <v>13</v>
      </c>
      <c r="K57" s="3051"/>
      <c r="L57" s="3041" t="s">
        <v>14</v>
      </c>
      <c r="M57" s="3051"/>
      <c r="N57" s="3041" t="s">
        <v>15</v>
      </c>
      <c r="O57" s="3051"/>
      <c r="P57" s="3042" t="s">
        <v>16</v>
      </c>
      <c r="Q57" s="3051"/>
      <c r="R57" s="3044" t="s">
        <v>16</v>
      </c>
      <c r="S57" s="3051"/>
      <c r="T57" s="3077" t="s">
        <v>62</v>
      </c>
      <c r="U57" s="3039"/>
      <c r="V57" s="3081" t="s">
        <v>75</v>
      </c>
      <c r="W57" s="3039"/>
      <c r="X57" s="3079" t="s">
        <v>75</v>
      </c>
    </row>
    <row r="58" spans="1:24" s="3900" customFormat="1" ht="13.8" thickBot="1">
      <c r="A58" s="3052"/>
      <c r="B58" s="3037" t="s">
        <v>3</v>
      </c>
      <c r="C58" s="3053"/>
      <c r="D58" s="3030" t="s">
        <v>4</v>
      </c>
      <c r="E58" s="3053"/>
      <c r="F58" s="3031" t="s">
        <v>5</v>
      </c>
      <c r="G58" s="3053"/>
      <c r="H58" s="3032" t="s">
        <v>6</v>
      </c>
      <c r="I58" s="3053"/>
      <c r="J58" s="3032" t="s">
        <v>7</v>
      </c>
      <c r="K58" s="3053"/>
      <c r="L58" s="3032" t="s">
        <v>8</v>
      </c>
      <c r="M58" s="3053"/>
      <c r="N58" s="3032" t="s">
        <v>9</v>
      </c>
      <c r="O58" s="3053"/>
      <c r="P58" s="3043" t="s">
        <v>10</v>
      </c>
      <c r="Q58" s="3053"/>
      <c r="R58" s="3045" t="s">
        <v>11</v>
      </c>
      <c r="S58" s="3053"/>
      <c r="T58" s="3078" t="s">
        <v>63</v>
      </c>
      <c r="U58" s="3033"/>
      <c r="V58" s="3075" t="s">
        <v>76</v>
      </c>
      <c r="W58" s="3033"/>
      <c r="X58" s="3080" t="s">
        <v>77</v>
      </c>
    </row>
    <row r="59" spans="1:24">
      <c r="A59" s="3731" t="s">
        <v>517</v>
      </c>
      <c r="B59" s="3917"/>
      <c r="C59" s="3918"/>
      <c r="D59" s="3919"/>
      <c r="E59" s="3918"/>
      <c r="F59" s="3919"/>
      <c r="G59" s="3918"/>
      <c r="H59" s="3920"/>
      <c r="I59" s="3918"/>
      <c r="J59" s="3920"/>
      <c r="K59" s="3918"/>
      <c r="L59" s="3920"/>
      <c r="M59" s="3918"/>
      <c r="N59" s="3920"/>
      <c r="O59" s="3918"/>
      <c r="P59" s="3732"/>
      <c r="Q59" s="3918"/>
      <c r="R59" s="3733"/>
      <c r="S59" s="3918"/>
      <c r="T59" s="3921"/>
      <c r="U59" s="3918"/>
      <c r="V59" s="3920"/>
      <c r="W59" s="3918"/>
      <c r="X59" s="3922"/>
    </row>
    <row r="60" spans="1:24" s="2749" customFormat="1">
      <c r="A60" s="3734" t="s">
        <v>518</v>
      </c>
      <c r="B60" s="4131">
        <v>43582310</v>
      </c>
      <c r="C60" s="4132"/>
      <c r="D60" s="3908">
        <v>48026262</v>
      </c>
      <c r="E60" s="4132"/>
      <c r="F60" s="3908">
        <v>47601767</v>
      </c>
      <c r="G60" s="4132"/>
      <c r="H60" s="3908">
        <v>49820245</v>
      </c>
      <c r="I60" s="4132"/>
      <c r="J60" s="3908">
        <v>48906182</v>
      </c>
      <c r="K60" s="4132"/>
      <c r="L60" s="3908">
        <v>49453399</v>
      </c>
      <c r="M60" s="4132"/>
      <c r="N60" s="3908">
        <v>50000000</v>
      </c>
      <c r="O60" s="2696"/>
      <c r="P60" s="3808">
        <v>51000000</v>
      </c>
      <c r="Q60" s="2696"/>
      <c r="R60" s="4133">
        <v>52000000</v>
      </c>
      <c r="S60" s="4132"/>
      <c r="T60" s="3546">
        <f>(((N60/B60)^(1/6)-1))</f>
        <v>2.3159387210726523E-2</v>
      </c>
      <c r="U60" s="4136"/>
      <c r="V60" s="3547">
        <f>(P60-N60)/N60</f>
        <v>0.02</v>
      </c>
      <c r="W60" s="4136"/>
      <c r="X60" s="3548">
        <f>(R60-P60)/P60</f>
        <v>1.9607843137254902E-2</v>
      </c>
    </row>
    <row r="61" spans="1:24" s="2749" customFormat="1">
      <c r="A61" s="3734"/>
      <c r="B61" s="4131"/>
      <c r="C61" s="4132"/>
      <c r="D61" s="3908"/>
      <c r="E61" s="4132"/>
      <c r="F61" s="3908"/>
      <c r="G61" s="4132"/>
      <c r="H61" s="3908"/>
      <c r="I61" s="4132"/>
      <c r="J61" s="3908"/>
      <c r="K61" s="4132"/>
      <c r="L61" s="3908"/>
      <c r="M61" s="4132"/>
      <c r="N61" s="3908"/>
      <c r="O61" s="4132"/>
      <c r="P61" s="3023"/>
      <c r="Q61" s="4132"/>
      <c r="R61" s="3025"/>
      <c r="S61" s="4132"/>
      <c r="T61" s="4156"/>
      <c r="U61" s="4136"/>
      <c r="V61" s="4157"/>
      <c r="W61" s="4136"/>
      <c r="X61" s="4158"/>
    </row>
    <row r="62" spans="1:24" s="2749" customFormat="1">
      <c r="A62" s="3734" t="s">
        <v>519</v>
      </c>
      <c r="B62" s="3902">
        <v>2626274</v>
      </c>
      <c r="C62" s="3903"/>
      <c r="D62" s="3905">
        <v>3220055</v>
      </c>
      <c r="E62" s="3903"/>
      <c r="F62" s="3905">
        <v>2999437</v>
      </c>
      <c r="G62" s="3903"/>
      <c r="H62" s="3905">
        <v>2653445</v>
      </c>
      <c r="I62" s="3903"/>
      <c r="J62" s="3905">
        <v>3598268</v>
      </c>
      <c r="K62" s="3903"/>
      <c r="L62" s="3905">
        <v>3735968</v>
      </c>
      <c r="M62" s="3903"/>
      <c r="N62" s="3905">
        <v>3800000</v>
      </c>
      <c r="O62" s="3903"/>
      <c r="P62" s="3808">
        <v>4000000</v>
      </c>
      <c r="Q62" s="34"/>
      <c r="R62" s="4133">
        <v>4000000</v>
      </c>
      <c r="S62" s="3903"/>
      <c r="T62" s="4159">
        <f>(((N62/B62)^(1/6)-1))</f>
        <v>6.350759007461404E-2</v>
      </c>
      <c r="U62" s="4160"/>
      <c r="V62" s="4137">
        <f>(P62-N62)/N62</f>
        <v>5.2631578947368418E-2</v>
      </c>
      <c r="W62" s="4138"/>
      <c r="X62" s="4139">
        <f>(R62-P62)/P62</f>
        <v>0</v>
      </c>
    </row>
    <row r="63" spans="1:24" s="2749" customFormat="1">
      <c r="A63" s="3734"/>
      <c r="B63" s="3902"/>
      <c r="C63" s="3903"/>
      <c r="D63" s="3905"/>
      <c r="E63" s="3903"/>
      <c r="F63" s="3905"/>
      <c r="G63" s="3903"/>
      <c r="H63" s="3905"/>
      <c r="I63" s="3903"/>
      <c r="J63" s="3905"/>
      <c r="K63" s="3903"/>
      <c r="L63" s="3905"/>
      <c r="M63" s="3903"/>
      <c r="N63" s="3905"/>
      <c r="O63" s="3903"/>
      <c r="P63" s="3023"/>
      <c r="Q63" s="3903"/>
      <c r="R63" s="3025"/>
      <c r="S63" s="3903"/>
      <c r="T63" s="4161"/>
      <c r="U63" s="4160"/>
      <c r="V63" s="4162"/>
      <c r="W63" s="4160"/>
      <c r="X63" s="4163"/>
    </row>
    <row r="64" spans="1:24" s="2749" customFormat="1">
      <c r="A64" s="3734" t="s">
        <v>520</v>
      </c>
      <c r="B64" s="3902">
        <v>22763606</v>
      </c>
      <c r="C64" s="3903"/>
      <c r="D64" s="3905">
        <v>16903392</v>
      </c>
      <c r="E64" s="3903"/>
      <c r="F64" s="3905">
        <v>18227157</v>
      </c>
      <c r="G64" s="3903"/>
      <c r="H64" s="3905">
        <v>19425191</v>
      </c>
      <c r="I64" s="3903"/>
      <c r="J64" s="3905">
        <v>21116038</v>
      </c>
      <c r="K64" s="3903"/>
      <c r="L64" s="3905">
        <v>21256670</v>
      </c>
      <c r="M64" s="3903"/>
      <c r="N64" s="3905">
        <v>21000000</v>
      </c>
      <c r="O64" s="3903"/>
      <c r="P64" s="3808">
        <v>21000000</v>
      </c>
      <c r="Q64" s="34"/>
      <c r="R64" s="4133">
        <v>21000000</v>
      </c>
      <c r="S64" s="3903"/>
      <c r="T64" s="4159">
        <f>(((N64/B64)^(1/6)-1))</f>
        <v>-1.3350184279437016E-2</v>
      </c>
      <c r="U64" s="4160"/>
      <c r="V64" s="4137">
        <f>(P64-N64)/N64</f>
        <v>0</v>
      </c>
      <c r="W64" s="4138"/>
      <c r="X64" s="4139">
        <f>(R64-P64)/P64</f>
        <v>0</v>
      </c>
    </row>
    <row r="65" spans="1:24" s="2749" customFormat="1">
      <c r="A65" s="3734"/>
      <c r="B65" s="3902"/>
      <c r="C65" s="3903"/>
      <c r="D65" s="3905"/>
      <c r="E65" s="3903"/>
      <c r="F65" s="3905"/>
      <c r="G65" s="3903"/>
      <c r="H65" s="3905"/>
      <c r="I65" s="3903"/>
      <c r="J65" s="3905"/>
      <c r="K65" s="3903"/>
      <c r="L65" s="3905"/>
      <c r="M65" s="3903"/>
      <c r="N65" s="3905"/>
      <c r="O65" s="3903"/>
      <c r="P65" s="3023"/>
      <c r="Q65" s="3903"/>
      <c r="R65" s="3025"/>
      <c r="S65" s="3903"/>
      <c r="T65" s="4161"/>
      <c r="U65" s="4160"/>
      <c r="V65" s="4162"/>
      <c r="W65" s="4160"/>
      <c r="X65" s="4163"/>
    </row>
    <row r="66" spans="1:24" s="2749" customFormat="1" ht="13.8" thickBot="1">
      <c r="A66" s="3153" t="s">
        <v>521</v>
      </c>
      <c r="B66" s="3910"/>
      <c r="C66" s="3911"/>
      <c r="D66" s="3912"/>
      <c r="E66" s="3911"/>
      <c r="F66" s="3912"/>
      <c r="G66" s="3911"/>
      <c r="H66" s="3912"/>
      <c r="I66" s="3911"/>
      <c r="J66" s="3912"/>
      <c r="K66" s="3911"/>
      <c r="L66" s="3912"/>
      <c r="M66" s="3911"/>
      <c r="N66" s="3912"/>
      <c r="O66" s="3911"/>
      <c r="P66" s="4154"/>
      <c r="Q66" s="36"/>
      <c r="R66" s="4155"/>
      <c r="S66" s="3911"/>
      <c r="T66" s="4164" t="e">
        <f>(((N66/B66)^(1/6)-1))</f>
        <v>#DIV/0!</v>
      </c>
      <c r="U66" s="4165"/>
      <c r="V66" s="4166" t="e">
        <f>(P66-N66)/N66</f>
        <v>#DIV/0!</v>
      </c>
      <c r="W66" s="4167"/>
      <c r="X66" s="4168" t="e">
        <f>(R66-P66)/P66</f>
        <v>#DIV/0!</v>
      </c>
    </row>
    <row r="67" spans="1:24" ht="14.4" thickTop="1" thickBot="1">
      <c r="A67" s="3923" t="s">
        <v>522</v>
      </c>
      <c r="B67" s="4140">
        <f>SUM(B60:B66)</f>
        <v>68972190</v>
      </c>
      <c r="C67" s="27"/>
      <c r="D67" s="4141">
        <f>SUM(D60:D66)</f>
        <v>68149709</v>
      </c>
      <c r="E67" s="27"/>
      <c r="F67" s="4141">
        <f>SUM(F60:F66)</f>
        <v>68828361</v>
      </c>
      <c r="G67" s="27"/>
      <c r="H67" s="4141">
        <f>SUM(H60:H66)</f>
        <v>71898881</v>
      </c>
      <c r="I67" s="27"/>
      <c r="J67" s="4141">
        <f>SUM(J60:J66)</f>
        <v>73620488</v>
      </c>
      <c r="K67" s="27"/>
      <c r="L67" s="4141">
        <f>SUM(L60:L66)</f>
        <v>74446037</v>
      </c>
      <c r="M67" s="27"/>
      <c r="N67" s="4141">
        <f>SUM(N60:N66)</f>
        <v>74800000</v>
      </c>
      <c r="O67" s="27"/>
      <c r="P67" s="4142">
        <f>SUM(P60:P66)</f>
        <v>76000000</v>
      </c>
      <c r="Q67" s="27"/>
      <c r="R67" s="4143">
        <f>SUM(R60:R66)</f>
        <v>77000000</v>
      </c>
      <c r="S67" s="3915"/>
      <c r="T67" s="4144">
        <f>(((N67/B67)^(1/6)-1))</f>
        <v>1.3610880202385101E-2</v>
      </c>
      <c r="U67" s="4145"/>
      <c r="V67" s="4146">
        <f>(P67-N67)/N67</f>
        <v>1.6042780748663103E-2</v>
      </c>
      <c r="W67" s="4145"/>
      <c r="X67" s="4147">
        <f>(R67-P67)/P67</f>
        <v>1.3157894736842105E-2</v>
      </c>
    </row>
    <row r="68" spans="1:24" s="3178" customFormat="1">
      <c r="A68" s="4149"/>
      <c r="B68" s="4152"/>
      <c r="C68" s="4152"/>
      <c r="D68" s="4152"/>
      <c r="E68" s="4152"/>
      <c r="F68" s="4152"/>
      <c r="G68" s="4152"/>
      <c r="H68" s="4152"/>
      <c r="I68" s="4152"/>
      <c r="J68" s="4152"/>
      <c r="K68" s="4152"/>
      <c r="L68" s="4152"/>
      <c r="M68" s="4152"/>
      <c r="N68" s="4152"/>
      <c r="O68" s="4152"/>
      <c r="P68" s="37"/>
      <c r="Q68" s="4151"/>
      <c r="R68" s="37"/>
      <c r="S68" s="4152"/>
      <c r="T68" s="4153"/>
      <c r="U68" s="4153"/>
      <c r="V68" s="4153"/>
      <c r="W68" s="4153"/>
      <c r="X68" s="4153"/>
    </row>
    <row r="69" spans="1:24" s="3178" customFormat="1">
      <c r="A69" s="4149"/>
      <c r="B69" s="4152"/>
      <c r="C69" s="4152"/>
      <c r="D69" s="4152"/>
      <c r="E69" s="4152"/>
      <c r="F69" s="4152"/>
      <c r="G69" s="4152"/>
      <c r="H69" s="4152"/>
      <c r="I69" s="4152"/>
      <c r="J69" s="4152"/>
      <c r="K69" s="4152"/>
      <c r="L69" s="4152"/>
      <c r="M69" s="4152"/>
      <c r="N69" s="4199" t="s">
        <v>782</v>
      </c>
      <c r="O69" s="4199"/>
      <c r="P69" s="4200" t="s">
        <v>783</v>
      </c>
      <c r="Q69" s="4201"/>
      <c r="R69" s="4200" t="s">
        <v>784</v>
      </c>
      <c r="S69" s="4152"/>
      <c r="T69" s="4153"/>
      <c r="U69" s="4153"/>
      <c r="V69" s="4153"/>
      <c r="W69" s="4153"/>
      <c r="X69" s="4153"/>
    </row>
    <row r="70" spans="1:24" s="3178" customFormat="1">
      <c r="A70" s="4149" t="s">
        <v>841</v>
      </c>
      <c r="B70" s="4202">
        <f>B67*$X$19</f>
        <v>17243047.5</v>
      </c>
      <c r="C70" s="4202"/>
      <c r="D70" s="4202">
        <f>D67*$X$19</f>
        <v>17037427.25</v>
      </c>
      <c r="E70" s="4202"/>
      <c r="F70" s="4202">
        <f>F67*$X$19</f>
        <v>17207090.25</v>
      </c>
      <c r="G70" s="4202"/>
      <c r="H70" s="4202">
        <f>H67*$X$19</f>
        <v>17974720.25</v>
      </c>
      <c r="I70" s="4202"/>
      <c r="J70" s="4202">
        <f>J67*$X$19</f>
        <v>18405122</v>
      </c>
      <c r="K70" s="4202"/>
      <c r="L70" s="4202">
        <f>L67*$X$19</f>
        <v>18611509.25</v>
      </c>
      <c r="M70" s="4202"/>
      <c r="N70" s="4202">
        <f>N67*$X$19</f>
        <v>18700000</v>
      </c>
      <c r="O70" s="4202"/>
      <c r="P70" s="4203">
        <f>P67*$X$19</f>
        <v>19000000</v>
      </c>
      <c r="Q70" s="38"/>
      <c r="R70" s="4203">
        <f>P70-N70</f>
        <v>300000</v>
      </c>
      <c r="S70" s="4152"/>
      <c r="T70" s="4153"/>
      <c r="U70" s="4153"/>
      <c r="V70" s="4153"/>
      <c r="W70" s="4153"/>
      <c r="X70" s="4153"/>
    </row>
    <row r="71" spans="1:24" s="3178" customFormat="1">
      <c r="A71" s="4149" t="s">
        <v>785</v>
      </c>
      <c r="B71" s="4152"/>
      <c r="C71" s="4152"/>
      <c r="D71" s="4152"/>
      <c r="E71" s="4152"/>
      <c r="F71" s="4152"/>
      <c r="G71" s="4152"/>
      <c r="H71" s="4152"/>
      <c r="I71" s="4152"/>
      <c r="J71" s="4152"/>
      <c r="K71" s="4152"/>
      <c r="L71" s="4152"/>
      <c r="M71" s="4152"/>
      <c r="N71" s="4152"/>
      <c r="O71" s="4152"/>
      <c r="P71" s="37"/>
      <c r="Q71" s="4151"/>
      <c r="R71" s="4205">
        <f>R70*0.5</f>
        <v>150000</v>
      </c>
      <c r="S71" s="4152"/>
      <c r="T71" s="4153"/>
      <c r="U71" s="4153"/>
      <c r="V71" s="4153"/>
      <c r="W71" s="4153"/>
      <c r="X71" s="4153"/>
    </row>
    <row r="72" spans="1:24" s="3178" customFormat="1">
      <c r="A72" s="4149" t="s">
        <v>786</v>
      </c>
      <c r="B72" s="4152"/>
      <c r="C72" s="4152"/>
      <c r="D72" s="4152"/>
      <c r="E72" s="4152"/>
      <c r="F72" s="4152"/>
      <c r="G72" s="4152"/>
      <c r="H72" s="4152"/>
      <c r="I72" s="4152"/>
      <c r="J72" s="4152"/>
      <c r="K72" s="4152"/>
      <c r="L72" s="4204">
        <f>L70*$X$20</f>
        <v>0</v>
      </c>
      <c r="M72" s="4152"/>
      <c r="N72" s="4152"/>
      <c r="O72" s="4152"/>
      <c r="P72" s="37"/>
      <c r="Q72" s="4151"/>
      <c r="R72" s="37"/>
      <c r="S72" s="4152"/>
      <c r="T72" s="4153"/>
      <c r="U72" s="4153"/>
      <c r="V72" s="4153"/>
      <c r="W72" s="4153"/>
      <c r="X72" s="4153"/>
    </row>
    <row r="73" spans="1:24" ht="13.8" thickBot="1">
      <c r="A73" s="4149"/>
      <c r="B73" s="4151"/>
      <c r="C73" s="4151"/>
      <c r="D73" s="4151"/>
      <c r="E73" s="4151"/>
      <c r="F73" s="4151"/>
      <c r="G73" s="4151"/>
      <c r="H73" s="4151"/>
      <c r="I73" s="4151"/>
      <c r="J73" s="4151"/>
      <c r="K73" s="4151"/>
      <c r="L73" s="4151"/>
      <c r="M73" s="4151"/>
      <c r="N73" s="4151"/>
      <c r="O73" s="4151"/>
      <c r="P73" s="37"/>
      <c r="Q73" s="4151"/>
      <c r="R73" s="37"/>
      <c r="S73" s="4152"/>
      <c r="T73" s="4153"/>
      <c r="U73" s="4153"/>
      <c r="V73" s="4153"/>
      <c r="W73" s="4153"/>
      <c r="X73" s="4153"/>
    </row>
    <row r="74" spans="1:24" s="3900" customFormat="1">
      <c r="A74" s="114" t="s">
        <v>746</v>
      </c>
      <c r="B74" s="3038" t="s">
        <v>13</v>
      </c>
      <c r="C74" s="3051"/>
      <c r="D74" s="3040" t="s">
        <v>13</v>
      </c>
      <c r="E74" s="3051"/>
      <c r="F74" s="3050" t="s">
        <v>13</v>
      </c>
      <c r="G74" s="3051"/>
      <c r="H74" s="3050" t="s">
        <v>13</v>
      </c>
      <c r="I74" s="3051"/>
      <c r="J74" s="3050" t="s">
        <v>13</v>
      </c>
      <c r="K74" s="3051"/>
      <c r="L74" s="3041" t="s">
        <v>14</v>
      </c>
      <c r="M74" s="3051"/>
      <c r="N74" s="3041" t="s">
        <v>15</v>
      </c>
      <c r="O74" s="3051"/>
      <c r="P74" s="3042" t="s">
        <v>16</v>
      </c>
      <c r="Q74" s="3051"/>
      <c r="R74" s="3044" t="s">
        <v>16</v>
      </c>
      <c r="S74" s="3051"/>
      <c r="T74" s="3077" t="s">
        <v>62</v>
      </c>
      <c r="U74" s="3039"/>
      <c r="V74" s="3081" t="s">
        <v>75</v>
      </c>
      <c r="W74" s="3039"/>
      <c r="X74" s="3079" t="s">
        <v>75</v>
      </c>
    </row>
    <row r="75" spans="1:24" s="3900" customFormat="1" ht="13.8" thickBot="1">
      <c r="A75" s="3052"/>
      <c r="B75" s="3037" t="s">
        <v>3</v>
      </c>
      <c r="C75" s="3053"/>
      <c r="D75" s="3030" t="s">
        <v>4</v>
      </c>
      <c r="E75" s="3053"/>
      <c r="F75" s="3031" t="s">
        <v>5</v>
      </c>
      <c r="G75" s="3053"/>
      <c r="H75" s="3032" t="s">
        <v>6</v>
      </c>
      <c r="I75" s="3053"/>
      <c r="J75" s="3032" t="s">
        <v>7</v>
      </c>
      <c r="K75" s="3053"/>
      <c r="L75" s="3032" t="s">
        <v>8</v>
      </c>
      <c r="M75" s="3053"/>
      <c r="N75" s="3032" t="s">
        <v>9</v>
      </c>
      <c r="O75" s="3053"/>
      <c r="P75" s="3043" t="s">
        <v>10</v>
      </c>
      <c r="Q75" s="3053"/>
      <c r="R75" s="3045" t="s">
        <v>11</v>
      </c>
      <c r="S75" s="3053"/>
      <c r="T75" s="3078" t="s">
        <v>63</v>
      </c>
      <c r="U75" s="3033"/>
      <c r="V75" s="3075" t="s">
        <v>76</v>
      </c>
      <c r="W75" s="3033"/>
      <c r="X75" s="3080" t="s">
        <v>77</v>
      </c>
    </row>
    <row r="76" spans="1:24">
      <c r="A76" s="3731" t="s">
        <v>517</v>
      </c>
      <c r="B76" s="3917"/>
      <c r="C76" s="3918"/>
      <c r="D76" s="3919"/>
      <c r="E76" s="3918"/>
      <c r="F76" s="3919"/>
      <c r="G76" s="3918"/>
      <c r="H76" s="3920"/>
      <c r="I76" s="3918"/>
      <c r="J76" s="3920"/>
      <c r="K76" s="3918"/>
      <c r="L76" s="3920"/>
      <c r="M76" s="3918"/>
      <c r="N76" s="3920"/>
      <c r="O76" s="3918"/>
      <c r="P76" s="3732"/>
      <c r="Q76" s="3918"/>
      <c r="R76" s="3733"/>
      <c r="S76" s="3918"/>
      <c r="T76" s="3921"/>
      <c r="U76" s="3918"/>
      <c r="V76" s="3920"/>
      <c r="W76" s="3918"/>
      <c r="X76" s="3922"/>
    </row>
    <row r="77" spans="1:24" s="2749" customFormat="1">
      <c r="A77" s="3734" t="s">
        <v>518</v>
      </c>
      <c r="B77" s="4131">
        <v>77924844</v>
      </c>
      <c r="C77" s="4132"/>
      <c r="D77" s="3908">
        <v>83603979</v>
      </c>
      <c r="E77" s="4132"/>
      <c r="F77" s="3908">
        <v>89398377</v>
      </c>
      <c r="G77" s="4132"/>
      <c r="H77" s="3908">
        <v>84493518</v>
      </c>
      <c r="I77" s="4132"/>
      <c r="J77" s="3908">
        <v>83618615</v>
      </c>
      <c r="K77" s="4132"/>
      <c r="L77" s="3908">
        <v>84997095</v>
      </c>
      <c r="M77" s="4132"/>
      <c r="N77" s="3908">
        <v>85500000</v>
      </c>
      <c r="O77" s="2696"/>
      <c r="P77" s="3808">
        <v>87400000</v>
      </c>
      <c r="Q77" s="2696"/>
      <c r="R77" s="4133">
        <v>89350000</v>
      </c>
      <c r="S77" s="4132"/>
      <c r="T77" s="3546">
        <f>(((N77/B77)^(1/6)-1))</f>
        <v>1.5582079409624416E-2</v>
      </c>
      <c r="U77" s="4136"/>
      <c r="V77" s="3547">
        <f>(P77-N77)/N77</f>
        <v>2.2222222222222223E-2</v>
      </c>
      <c r="W77" s="4136"/>
      <c r="X77" s="3548">
        <f>(R77-P77)/P77</f>
        <v>2.231121281464531E-2</v>
      </c>
    </row>
    <row r="78" spans="1:24" s="2749" customFormat="1">
      <c r="A78" s="3734"/>
      <c r="B78" s="4131"/>
      <c r="C78" s="4132"/>
      <c r="D78" s="3908"/>
      <c r="E78" s="4132"/>
      <c r="F78" s="3908"/>
      <c r="G78" s="4132"/>
      <c r="H78" s="3908"/>
      <c r="I78" s="4132"/>
      <c r="J78" s="3908"/>
      <c r="K78" s="4132"/>
      <c r="L78" s="3908"/>
      <c r="M78" s="4132"/>
      <c r="N78" s="3908"/>
      <c r="O78" s="4132"/>
      <c r="P78" s="3023"/>
      <c r="Q78" s="4132"/>
      <c r="R78" s="3025"/>
      <c r="S78" s="4132"/>
      <c r="T78" s="4156"/>
      <c r="U78" s="4136"/>
      <c r="V78" s="4157"/>
      <c r="W78" s="4136"/>
      <c r="X78" s="4158"/>
    </row>
    <row r="79" spans="1:24" s="2749" customFormat="1">
      <c r="A79" s="3734" t="s">
        <v>519</v>
      </c>
      <c r="B79" s="3902">
        <v>3171522</v>
      </c>
      <c r="C79" s="3903"/>
      <c r="D79" s="3905">
        <v>2201065</v>
      </c>
      <c r="E79" s="3903"/>
      <c r="F79" s="3905">
        <v>2209441</v>
      </c>
      <c r="G79" s="3903"/>
      <c r="H79" s="3905">
        <v>2028636</v>
      </c>
      <c r="I79" s="3903"/>
      <c r="J79" s="3905">
        <v>1868101</v>
      </c>
      <c r="K79" s="3903"/>
      <c r="L79" s="3905">
        <v>2371205</v>
      </c>
      <c r="M79" s="3903"/>
      <c r="N79" s="3905">
        <v>3005000</v>
      </c>
      <c r="O79" s="3903"/>
      <c r="P79" s="3808">
        <v>3005000</v>
      </c>
      <c r="Q79" s="34"/>
      <c r="R79" s="4133">
        <v>3005000</v>
      </c>
      <c r="S79" s="3903"/>
      <c r="T79" s="4159">
        <f>(((N79/B79)^(1/6)-1))</f>
        <v>-8.9487248205114556E-3</v>
      </c>
      <c r="U79" s="4160"/>
      <c r="V79" s="4137">
        <f>(P79-N79)/N79</f>
        <v>0</v>
      </c>
      <c r="W79" s="4138"/>
      <c r="X79" s="4139">
        <f>(R79-P79)/P79</f>
        <v>0</v>
      </c>
    </row>
    <row r="80" spans="1:24" s="2749" customFormat="1">
      <c r="A80" s="3734"/>
      <c r="B80" s="3902"/>
      <c r="C80" s="3903"/>
      <c r="D80" s="3905"/>
      <c r="E80" s="3903"/>
      <c r="F80" s="3905"/>
      <c r="G80" s="3903"/>
      <c r="H80" s="3905"/>
      <c r="I80" s="3903"/>
      <c r="J80" s="3905"/>
      <c r="K80" s="3903"/>
      <c r="L80" s="3905"/>
      <c r="M80" s="3903"/>
      <c r="N80" s="3905"/>
      <c r="O80" s="3903"/>
      <c r="P80" s="3023"/>
      <c r="Q80" s="3903"/>
      <c r="R80" s="3025"/>
      <c r="S80" s="3903"/>
      <c r="T80" s="4161"/>
      <c r="U80" s="4160"/>
      <c r="V80" s="4162"/>
      <c r="W80" s="4160"/>
      <c r="X80" s="4163"/>
    </row>
    <row r="81" spans="1:24" s="2749" customFormat="1">
      <c r="A81" s="3734" t="s">
        <v>520</v>
      </c>
      <c r="B81" s="3902">
        <v>33860465</v>
      </c>
      <c r="C81" s="3903"/>
      <c r="D81" s="3905">
        <v>34447116</v>
      </c>
      <c r="E81" s="3903"/>
      <c r="F81" s="3905">
        <v>30808890</v>
      </c>
      <c r="G81" s="3903"/>
      <c r="H81" s="3905">
        <v>28476050</v>
      </c>
      <c r="I81" s="3903"/>
      <c r="J81" s="3905">
        <v>31324494</v>
      </c>
      <c r="K81" s="3903"/>
      <c r="L81" s="3905">
        <v>35181149</v>
      </c>
      <c r="M81" s="3903"/>
      <c r="N81" s="3905">
        <v>35150000</v>
      </c>
      <c r="O81" s="3903"/>
      <c r="P81" s="3808">
        <v>35150000</v>
      </c>
      <c r="Q81" s="34"/>
      <c r="R81" s="4133">
        <v>35150000</v>
      </c>
      <c r="S81" s="3903"/>
      <c r="T81" s="4159">
        <f>(((N81/B81)^(1/6)-1))</f>
        <v>6.2488612818323297E-3</v>
      </c>
      <c r="U81" s="4160"/>
      <c r="V81" s="4137">
        <f>(P81-N81)/N81</f>
        <v>0</v>
      </c>
      <c r="W81" s="4138"/>
      <c r="X81" s="4139">
        <f>(R81-P81)/P81</f>
        <v>0</v>
      </c>
    </row>
    <row r="82" spans="1:24" s="2749" customFormat="1">
      <c r="A82" s="3734"/>
      <c r="B82" s="3902"/>
      <c r="C82" s="3903"/>
      <c r="D82" s="3905"/>
      <c r="E82" s="3903"/>
      <c r="F82" s="3905"/>
      <c r="G82" s="3903"/>
      <c r="H82" s="3905"/>
      <c r="I82" s="3903"/>
      <c r="J82" s="3905"/>
      <c r="K82" s="3903"/>
      <c r="L82" s="3905"/>
      <c r="M82" s="3903"/>
      <c r="N82" s="3905"/>
      <c r="O82" s="3903"/>
      <c r="P82" s="3023"/>
      <c r="Q82" s="3903"/>
      <c r="R82" s="3025"/>
      <c r="S82" s="3903"/>
      <c r="T82" s="4161"/>
      <c r="U82" s="4160"/>
      <c r="V82" s="4162"/>
      <c r="W82" s="4160"/>
      <c r="X82" s="4163"/>
    </row>
    <row r="83" spans="1:24" s="2749" customFormat="1" ht="13.8" thickBot="1">
      <c r="A83" s="3153" t="s">
        <v>521</v>
      </c>
      <c r="B83" s="3910"/>
      <c r="C83" s="3911"/>
      <c r="D83" s="3912"/>
      <c r="E83" s="3911"/>
      <c r="F83" s="3912"/>
      <c r="G83" s="3911"/>
      <c r="H83" s="3912"/>
      <c r="I83" s="3911"/>
      <c r="J83" s="3912"/>
      <c r="K83" s="3911"/>
      <c r="L83" s="3912"/>
      <c r="M83" s="3911"/>
      <c r="N83" s="3912"/>
      <c r="O83" s="3911"/>
      <c r="P83" s="4154"/>
      <c r="Q83" s="36"/>
      <c r="R83" s="4155"/>
      <c r="S83" s="3911"/>
      <c r="T83" s="4164" t="e">
        <f>(((N83/B83)^(1/6)-1))</f>
        <v>#DIV/0!</v>
      </c>
      <c r="U83" s="4165"/>
      <c r="V83" s="4166" t="e">
        <f>(P83-N83)/N83</f>
        <v>#DIV/0!</v>
      </c>
      <c r="W83" s="4167"/>
      <c r="X83" s="4168" t="e">
        <f>(R83-P83)/P83</f>
        <v>#DIV/0!</v>
      </c>
    </row>
    <row r="84" spans="1:24" ht="14.4" thickTop="1" thickBot="1">
      <c r="A84" s="3923" t="s">
        <v>522</v>
      </c>
      <c r="B84" s="4140">
        <f>SUM(B77:B83)</f>
        <v>114956831</v>
      </c>
      <c r="C84" s="27"/>
      <c r="D84" s="4141">
        <f>SUM(D77:D83)</f>
        <v>120252160</v>
      </c>
      <c r="E84" s="27"/>
      <c r="F84" s="4141">
        <f>SUM(F77:F83)</f>
        <v>122416708</v>
      </c>
      <c r="G84" s="27"/>
      <c r="H84" s="4141">
        <f>SUM(H77:H83)</f>
        <v>114998204</v>
      </c>
      <c r="I84" s="27"/>
      <c r="J84" s="4141">
        <f>SUM(J77:J83)</f>
        <v>116811210</v>
      </c>
      <c r="K84" s="27"/>
      <c r="L84" s="4141">
        <f>SUM(L77:L83)</f>
        <v>122549449</v>
      </c>
      <c r="M84" s="27"/>
      <c r="N84" s="4141">
        <f>SUM(N77:N83)</f>
        <v>123655000</v>
      </c>
      <c r="O84" s="27"/>
      <c r="P84" s="4142">
        <f>SUM(P77:P83)</f>
        <v>125555000</v>
      </c>
      <c r="Q84" s="27"/>
      <c r="R84" s="4143">
        <f>SUM(R77:R83)</f>
        <v>127505000</v>
      </c>
      <c r="S84" s="3915"/>
      <c r="T84" s="4144">
        <f>(((N84/B84)^(1/6)-1))</f>
        <v>1.2230649171224517E-2</v>
      </c>
      <c r="U84" s="4145"/>
      <c r="V84" s="4146">
        <f>(P84-N84)/N84</f>
        <v>1.5365330961141887E-2</v>
      </c>
      <c r="W84" s="4145"/>
      <c r="X84" s="4147">
        <f>(R84-P84)/P84</f>
        <v>1.5531042172752977E-2</v>
      </c>
    </row>
    <row r="85" spans="1:24" s="3178" customFormat="1">
      <c r="A85" s="4149"/>
      <c r="B85" s="4152"/>
      <c r="C85" s="4152"/>
      <c r="D85" s="4152"/>
      <c r="E85" s="4152"/>
      <c r="F85" s="4152"/>
      <c r="G85" s="4152"/>
      <c r="H85" s="4152"/>
      <c r="I85" s="4152"/>
      <c r="J85" s="4152"/>
      <c r="K85" s="4152"/>
      <c r="L85" s="4152"/>
      <c r="M85" s="4152"/>
      <c r="N85" s="4152"/>
      <c r="O85" s="4152"/>
      <c r="P85" s="37"/>
      <c r="Q85" s="4151"/>
      <c r="R85" s="37"/>
      <c r="S85" s="4152"/>
      <c r="T85" s="4153"/>
      <c r="U85" s="4153"/>
      <c r="V85" s="4153"/>
      <c r="W85" s="4153"/>
      <c r="X85" s="4153"/>
    </row>
    <row r="86" spans="1:24" s="3178" customFormat="1">
      <c r="A86" s="4149"/>
      <c r="B86" s="4152"/>
      <c r="C86" s="4152"/>
      <c r="D86" s="4152"/>
      <c r="E86" s="4152"/>
      <c r="F86" s="4152"/>
      <c r="G86" s="4152"/>
      <c r="H86" s="4152"/>
      <c r="I86" s="4152"/>
      <c r="J86" s="4152"/>
      <c r="K86" s="4152"/>
      <c r="L86" s="4152"/>
      <c r="M86" s="4152"/>
      <c r="N86" s="4199" t="s">
        <v>782</v>
      </c>
      <c r="O86" s="4199"/>
      <c r="P86" s="4200" t="s">
        <v>783</v>
      </c>
      <c r="Q86" s="4201"/>
      <c r="R86" s="4200" t="s">
        <v>784</v>
      </c>
      <c r="S86" s="4152"/>
      <c r="T86" s="4153"/>
      <c r="U86" s="4153"/>
      <c r="V86" s="4153"/>
      <c r="W86" s="4153"/>
      <c r="X86" s="4153"/>
    </row>
    <row r="87" spans="1:24" s="3178" customFormat="1">
      <c r="A87" s="4149" t="s">
        <v>841</v>
      </c>
      <c r="B87" s="4202">
        <f>B84*$X$19</f>
        <v>28739207.75</v>
      </c>
      <c r="C87" s="4202"/>
      <c r="D87" s="4202">
        <f>D84*$X$19</f>
        <v>30063040</v>
      </c>
      <c r="E87" s="4202"/>
      <c r="F87" s="4202">
        <f>F84*$X$19</f>
        <v>30604177</v>
      </c>
      <c r="G87" s="4202"/>
      <c r="H87" s="4202">
        <f>H84*$X$19</f>
        <v>28749551</v>
      </c>
      <c r="I87" s="4202"/>
      <c r="J87" s="4202">
        <f>J84*$X$19</f>
        <v>29202802.5</v>
      </c>
      <c r="K87" s="4202"/>
      <c r="L87" s="4202">
        <f>L84*$X$19</f>
        <v>30637362.25</v>
      </c>
      <c r="M87" s="4202"/>
      <c r="N87" s="4202">
        <f>N84*$X$19</f>
        <v>30913750</v>
      </c>
      <c r="O87" s="4202"/>
      <c r="P87" s="4203">
        <f>P84*$X$19</f>
        <v>31388750</v>
      </c>
      <c r="Q87" s="38"/>
      <c r="R87" s="4203">
        <f>P87-N87</f>
        <v>475000</v>
      </c>
      <c r="S87" s="4152"/>
      <c r="T87" s="4153"/>
      <c r="U87" s="4153"/>
      <c r="V87" s="4153"/>
      <c r="W87" s="4153"/>
      <c r="X87" s="4153"/>
    </row>
    <row r="88" spans="1:24" s="3178" customFormat="1">
      <c r="A88" s="4149" t="s">
        <v>785</v>
      </c>
      <c r="B88" s="4152"/>
      <c r="C88" s="4152"/>
      <c r="D88" s="4152"/>
      <c r="E88" s="4152"/>
      <c r="F88" s="4152"/>
      <c r="G88" s="4152"/>
      <c r="H88" s="4152"/>
      <c r="I88" s="4152"/>
      <c r="J88" s="4152"/>
      <c r="K88" s="4152"/>
      <c r="L88" s="4152"/>
      <c r="M88" s="4152"/>
      <c r="N88" s="4152"/>
      <c r="O88" s="4152"/>
      <c r="P88" s="37"/>
      <c r="Q88" s="4151"/>
      <c r="R88" s="4205">
        <f>R87*0.5</f>
        <v>237500</v>
      </c>
      <c r="S88" s="4152"/>
      <c r="T88" s="4153"/>
      <c r="U88" s="4153"/>
      <c r="V88" s="4153"/>
      <c r="W88" s="4153"/>
      <c r="X88" s="4153"/>
    </row>
    <row r="89" spans="1:24" s="3178" customFormat="1">
      <c r="A89" s="4149" t="s">
        <v>786</v>
      </c>
      <c r="B89" s="4152"/>
      <c r="C89" s="4152"/>
      <c r="D89" s="4152"/>
      <c r="E89" s="4152"/>
      <c r="F89" s="4152"/>
      <c r="G89" s="4152"/>
      <c r="H89" s="4152"/>
      <c r="I89" s="4152"/>
      <c r="J89" s="4152"/>
      <c r="K89" s="4152"/>
      <c r="L89" s="4204">
        <f>L87*$X$20</f>
        <v>0</v>
      </c>
      <c r="M89" s="4152"/>
      <c r="N89" s="4152"/>
      <c r="O89" s="4152"/>
      <c r="P89" s="37"/>
      <c r="Q89" s="4151"/>
      <c r="R89" s="37"/>
      <c r="S89" s="4152"/>
      <c r="T89" s="4153"/>
      <c r="U89" s="4153"/>
      <c r="V89" s="4153"/>
      <c r="W89" s="4153"/>
      <c r="X89" s="4153"/>
    </row>
    <row r="90" spans="1:24" ht="13.8" thickBot="1">
      <c r="A90" s="4149"/>
      <c r="B90" s="4151"/>
      <c r="C90" s="4151"/>
      <c r="D90" s="4151"/>
      <c r="E90" s="4151"/>
      <c r="F90" s="4151"/>
      <c r="G90" s="4151"/>
      <c r="H90" s="4151"/>
      <c r="I90" s="4151"/>
      <c r="J90" s="4151"/>
      <c r="K90" s="4151"/>
      <c r="L90" s="4151"/>
      <c r="M90" s="4151"/>
      <c r="N90" s="4151"/>
      <c r="O90" s="4151"/>
      <c r="P90" s="37"/>
      <c r="Q90" s="4151"/>
      <c r="R90" s="37"/>
      <c r="S90" s="4152"/>
      <c r="T90" s="4153"/>
      <c r="U90" s="4153"/>
      <c r="V90" s="4153"/>
      <c r="W90" s="4153"/>
      <c r="X90" s="4153"/>
    </row>
    <row r="91" spans="1:24" s="3900" customFormat="1">
      <c r="A91" s="114" t="s">
        <v>485</v>
      </c>
      <c r="B91" s="3038" t="s">
        <v>13</v>
      </c>
      <c r="C91" s="3051"/>
      <c r="D91" s="3040" t="s">
        <v>13</v>
      </c>
      <c r="E91" s="3051"/>
      <c r="F91" s="3050" t="s">
        <v>13</v>
      </c>
      <c r="G91" s="3051"/>
      <c r="H91" s="3050" t="s">
        <v>13</v>
      </c>
      <c r="I91" s="3051"/>
      <c r="J91" s="3050" t="s">
        <v>13</v>
      </c>
      <c r="K91" s="3051"/>
      <c r="L91" s="3041" t="s">
        <v>14</v>
      </c>
      <c r="M91" s="3051"/>
      <c r="N91" s="3041" t="s">
        <v>15</v>
      </c>
      <c r="O91" s="3051"/>
      <c r="P91" s="3042" t="s">
        <v>16</v>
      </c>
      <c r="Q91" s="3051"/>
      <c r="R91" s="3044" t="s">
        <v>16</v>
      </c>
      <c r="S91" s="3051"/>
      <c r="T91" s="3077" t="s">
        <v>62</v>
      </c>
      <c r="U91" s="3039"/>
      <c r="V91" s="3081" t="s">
        <v>75</v>
      </c>
      <c r="W91" s="3039"/>
      <c r="X91" s="3079" t="s">
        <v>75</v>
      </c>
    </row>
    <row r="92" spans="1:24" s="3900" customFormat="1" ht="13.8" thickBot="1">
      <c r="A92" s="3052"/>
      <c r="B92" s="3037" t="s">
        <v>3</v>
      </c>
      <c r="C92" s="3053"/>
      <c r="D92" s="3030" t="s">
        <v>4</v>
      </c>
      <c r="E92" s="3053"/>
      <c r="F92" s="3031" t="s">
        <v>5</v>
      </c>
      <c r="G92" s="3053"/>
      <c r="H92" s="3032" t="s">
        <v>6</v>
      </c>
      <c r="I92" s="3053"/>
      <c r="J92" s="3032" t="s">
        <v>7</v>
      </c>
      <c r="K92" s="3053"/>
      <c r="L92" s="3032" t="s">
        <v>8</v>
      </c>
      <c r="M92" s="3053"/>
      <c r="N92" s="3032" t="s">
        <v>9</v>
      </c>
      <c r="O92" s="3053"/>
      <c r="P92" s="3043" t="s">
        <v>10</v>
      </c>
      <c r="Q92" s="3053"/>
      <c r="R92" s="3045" t="s">
        <v>11</v>
      </c>
      <c r="S92" s="3053"/>
      <c r="T92" s="3078" t="s">
        <v>63</v>
      </c>
      <c r="U92" s="3033"/>
      <c r="V92" s="3075" t="s">
        <v>76</v>
      </c>
      <c r="W92" s="3033"/>
      <c r="X92" s="3080" t="s">
        <v>77</v>
      </c>
    </row>
    <row r="93" spans="1:24">
      <c r="A93" s="3731" t="s">
        <v>517</v>
      </c>
      <c r="B93" s="3917"/>
      <c r="C93" s="3918"/>
      <c r="D93" s="3919"/>
      <c r="E93" s="3918"/>
      <c r="F93" s="3919"/>
      <c r="G93" s="3918"/>
      <c r="H93" s="3920"/>
      <c r="I93" s="3918"/>
      <c r="J93" s="3920"/>
      <c r="K93" s="3918"/>
      <c r="L93" s="3920"/>
      <c r="M93" s="3918"/>
      <c r="N93" s="3920"/>
      <c r="O93" s="3918"/>
      <c r="P93" s="3732"/>
      <c r="Q93" s="3918"/>
      <c r="R93" s="3733"/>
      <c r="S93" s="3918"/>
      <c r="T93" s="3921"/>
      <c r="U93" s="3918"/>
      <c r="V93" s="3920"/>
      <c r="W93" s="3918"/>
      <c r="X93" s="3922"/>
    </row>
    <row r="94" spans="1:24" s="2749" customFormat="1">
      <c r="A94" s="3734" t="s">
        <v>518</v>
      </c>
      <c r="B94" s="4131">
        <v>8455284</v>
      </c>
      <c r="C94" s="4132"/>
      <c r="D94" s="3908">
        <v>10580327</v>
      </c>
      <c r="E94" s="4132"/>
      <c r="F94" s="3908">
        <v>11116190</v>
      </c>
      <c r="G94" s="4132"/>
      <c r="H94" s="3908">
        <v>12881228</v>
      </c>
      <c r="I94" s="4132"/>
      <c r="J94" s="3908">
        <v>13556388</v>
      </c>
      <c r="K94" s="4132"/>
      <c r="L94" s="3908">
        <v>11359580</v>
      </c>
      <c r="M94" s="4132"/>
      <c r="N94" s="3908">
        <v>11000000</v>
      </c>
      <c r="O94" s="2696"/>
      <c r="P94" s="3808">
        <v>10000000</v>
      </c>
      <c r="Q94" s="2696"/>
      <c r="R94" s="4133">
        <v>10000000</v>
      </c>
      <c r="S94" s="4132"/>
      <c r="T94" s="3546">
        <f>(((N94/B94)^(1/6)-1))</f>
        <v>4.4826263847278058E-2</v>
      </c>
      <c r="U94" s="4136"/>
      <c r="V94" s="3547">
        <f>(P94-N94)/N94</f>
        <v>-9.0909090909090912E-2</v>
      </c>
      <c r="W94" s="4136"/>
      <c r="X94" s="3548">
        <f>(R94-P94)/P94</f>
        <v>0</v>
      </c>
    </row>
    <row r="95" spans="1:24" s="2749" customFormat="1">
      <c r="A95" s="3734"/>
      <c r="B95" s="4131"/>
      <c r="C95" s="4132"/>
      <c r="D95" s="3908"/>
      <c r="E95" s="4132"/>
      <c r="F95" s="3908"/>
      <c r="G95" s="4132"/>
      <c r="H95" s="3908"/>
      <c r="I95" s="4132"/>
      <c r="J95" s="3908"/>
      <c r="K95" s="4132"/>
      <c r="L95" s="3908"/>
      <c r="M95" s="4132"/>
      <c r="N95" s="3908"/>
      <c r="O95" s="4132"/>
      <c r="P95" s="3023"/>
      <c r="Q95" s="4132"/>
      <c r="R95" s="3025"/>
      <c r="S95" s="4132"/>
      <c r="T95" s="4156"/>
      <c r="U95" s="4136"/>
      <c r="V95" s="4157"/>
      <c r="W95" s="4136"/>
      <c r="X95" s="4158"/>
    </row>
    <row r="96" spans="1:24" s="2749" customFormat="1">
      <c r="A96" s="3734" t="s">
        <v>519</v>
      </c>
      <c r="B96" s="3902">
        <v>1408553</v>
      </c>
      <c r="C96" s="3903"/>
      <c r="D96" s="3905">
        <v>1030661</v>
      </c>
      <c r="E96" s="3903"/>
      <c r="F96" s="3905">
        <v>1351164</v>
      </c>
      <c r="G96" s="3903"/>
      <c r="H96" s="3905">
        <v>1161952</v>
      </c>
      <c r="I96" s="3903"/>
      <c r="J96" s="3905">
        <v>1457223</v>
      </c>
      <c r="K96" s="3903"/>
      <c r="L96" s="3905">
        <v>1162125</v>
      </c>
      <c r="M96" s="3903"/>
      <c r="N96" s="3905">
        <v>1000000</v>
      </c>
      <c r="O96" s="3903"/>
      <c r="P96" s="3808">
        <v>900000</v>
      </c>
      <c r="Q96" s="34"/>
      <c r="R96" s="4133">
        <v>900000</v>
      </c>
      <c r="S96" s="3903"/>
      <c r="T96" s="4159">
        <f>(((N96/B96)^(1/6)-1))</f>
        <v>-5.5494550859322866E-2</v>
      </c>
      <c r="U96" s="4160"/>
      <c r="V96" s="4137">
        <f>(P96-N96)/N96</f>
        <v>-0.1</v>
      </c>
      <c r="W96" s="4138"/>
      <c r="X96" s="4139">
        <f>(R96-P96)/P96</f>
        <v>0</v>
      </c>
    </row>
    <row r="97" spans="1:24" s="2749" customFormat="1">
      <c r="A97" s="3734"/>
      <c r="B97" s="3902"/>
      <c r="C97" s="3903"/>
      <c r="D97" s="3905"/>
      <c r="E97" s="3903"/>
      <c r="F97" s="3905"/>
      <c r="G97" s="3903"/>
      <c r="H97" s="3905"/>
      <c r="I97" s="3903"/>
      <c r="J97" s="3905"/>
      <c r="K97" s="3903"/>
      <c r="L97" s="3905"/>
      <c r="M97" s="3903"/>
      <c r="N97" s="3905"/>
      <c r="O97" s="3903"/>
      <c r="P97" s="3023"/>
      <c r="Q97" s="3903"/>
      <c r="R97" s="3025"/>
      <c r="S97" s="3903"/>
      <c r="T97" s="4161"/>
      <c r="U97" s="4160"/>
      <c r="V97" s="4162"/>
      <c r="W97" s="4160"/>
      <c r="X97" s="4163"/>
    </row>
    <row r="98" spans="1:24" s="2749" customFormat="1">
      <c r="A98" s="3734" t="s">
        <v>520</v>
      </c>
      <c r="B98" s="3902">
        <v>4490127</v>
      </c>
      <c r="C98" s="3903"/>
      <c r="D98" s="3905">
        <v>5753613</v>
      </c>
      <c r="E98" s="3903"/>
      <c r="F98" s="3905">
        <v>7245956</v>
      </c>
      <c r="G98" s="3903"/>
      <c r="H98" s="3905">
        <v>5531770</v>
      </c>
      <c r="I98" s="3903"/>
      <c r="J98" s="3905">
        <v>3559274</v>
      </c>
      <c r="K98" s="3903"/>
      <c r="L98" s="3905">
        <v>4065639</v>
      </c>
      <c r="M98" s="3903"/>
      <c r="N98" s="3905">
        <v>4000000</v>
      </c>
      <c r="O98" s="3903"/>
      <c r="P98" s="3808">
        <v>4000000</v>
      </c>
      <c r="Q98" s="34"/>
      <c r="R98" s="4133">
        <v>4000000</v>
      </c>
      <c r="S98" s="3903"/>
      <c r="T98" s="4159">
        <f>(((N98/B98)^(1/6)-1))</f>
        <v>-1.9080064123304097E-2</v>
      </c>
      <c r="U98" s="4160"/>
      <c r="V98" s="4137">
        <f>(P98-N98)/N98</f>
        <v>0</v>
      </c>
      <c r="W98" s="4138"/>
      <c r="X98" s="4139">
        <f>(R98-P98)/P98</f>
        <v>0</v>
      </c>
    </row>
    <row r="99" spans="1:24" s="2749" customFormat="1">
      <c r="A99" s="3734"/>
      <c r="B99" s="3902"/>
      <c r="C99" s="3903"/>
      <c r="D99" s="3905"/>
      <c r="E99" s="3903"/>
      <c r="F99" s="3905"/>
      <c r="G99" s="3903"/>
      <c r="H99" s="3905"/>
      <c r="I99" s="3903"/>
      <c r="J99" s="3905"/>
      <c r="K99" s="3903"/>
      <c r="L99" s="3905"/>
      <c r="M99" s="3903"/>
      <c r="N99" s="3905"/>
      <c r="O99" s="3903"/>
      <c r="P99" s="3023"/>
      <c r="Q99" s="3903"/>
      <c r="R99" s="3025"/>
      <c r="S99" s="3903"/>
      <c r="T99" s="4161"/>
      <c r="U99" s="4160"/>
      <c r="V99" s="4162"/>
      <c r="W99" s="4160"/>
      <c r="X99" s="4163"/>
    </row>
    <row r="100" spans="1:24" s="2749" customFormat="1" ht="13.8" thickBot="1">
      <c r="A100" s="3153" t="s">
        <v>521</v>
      </c>
      <c r="B100" s="3910"/>
      <c r="C100" s="3911"/>
      <c r="D100" s="3912"/>
      <c r="E100" s="3911"/>
      <c r="F100" s="3912"/>
      <c r="G100" s="3911"/>
      <c r="H100" s="3912"/>
      <c r="I100" s="3911"/>
      <c r="J100" s="3912"/>
      <c r="K100" s="3911"/>
      <c r="L100" s="3912"/>
      <c r="M100" s="3911"/>
      <c r="N100" s="3912"/>
      <c r="O100" s="3911"/>
      <c r="P100" s="4154"/>
      <c r="Q100" s="36"/>
      <c r="R100" s="4155"/>
      <c r="S100" s="3911"/>
      <c r="T100" s="4164" t="e">
        <f>(((N100/B100)^(1/6)-1))</f>
        <v>#DIV/0!</v>
      </c>
      <c r="U100" s="4165"/>
      <c r="V100" s="4166" t="e">
        <f>(P100-N100)/N100</f>
        <v>#DIV/0!</v>
      </c>
      <c r="W100" s="4167"/>
      <c r="X100" s="4168" t="e">
        <f>(R100-P100)/P100</f>
        <v>#DIV/0!</v>
      </c>
    </row>
    <row r="101" spans="1:24" ht="14.4" thickTop="1" thickBot="1">
      <c r="A101" s="3923" t="s">
        <v>522</v>
      </c>
      <c r="B101" s="4140">
        <f>SUM(B94:B100)</f>
        <v>14353964</v>
      </c>
      <c r="C101" s="27"/>
      <c r="D101" s="4141">
        <f>SUM(D94:D100)</f>
        <v>17364601</v>
      </c>
      <c r="E101" s="27"/>
      <c r="F101" s="4141">
        <f>SUM(F94:F100)</f>
        <v>19713310</v>
      </c>
      <c r="G101" s="27"/>
      <c r="H101" s="4141">
        <f>SUM(H94:H100)</f>
        <v>19574950</v>
      </c>
      <c r="I101" s="27"/>
      <c r="J101" s="4141">
        <f>SUM(J94:J100)</f>
        <v>18572885</v>
      </c>
      <c r="K101" s="27"/>
      <c r="L101" s="4141">
        <f>SUM(L94:L100)</f>
        <v>16587344</v>
      </c>
      <c r="M101" s="27"/>
      <c r="N101" s="4141">
        <f>SUM(N94:N100)</f>
        <v>16000000</v>
      </c>
      <c r="O101" s="27"/>
      <c r="P101" s="4142">
        <f>SUM(P94:P100)</f>
        <v>14900000</v>
      </c>
      <c r="Q101" s="27"/>
      <c r="R101" s="4143">
        <f>SUM(R94:R100)</f>
        <v>14900000</v>
      </c>
      <c r="S101" s="3915"/>
      <c r="T101" s="4144">
        <f>(((N101/B101)^(1/6)-1))</f>
        <v>1.8258447431684033E-2</v>
      </c>
      <c r="U101" s="4145"/>
      <c r="V101" s="4146">
        <f>(P101-N101)/N101</f>
        <v>-6.8750000000000006E-2</v>
      </c>
      <c r="W101" s="4145"/>
      <c r="X101" s="4147">
        <f>(R101-P101)/P101</f>
        <v>0</v>
      </c>
    </row>
    <row r="102" spans="1:24" s="3178" customFormat="1">
      <c r="A102" s="4149"/>
      <c r="B102" s="4152"/>
      <c r="C102" s="4152"/>
      <c r="D102" s="4152"/>
      <c r="E102" s="4152"/>
      <c r="F102" s="4152"/>
      <c r="G102" s="4152"/>
      <c r="H102" s="4152"/>
      <c r="I102" s="4152"/>
      <c r="J102" s="4152"/>
      <c r="K102" s="4152"/>
      <c r="L102" s="4152"/>
      <c r="M102" s="4152"/>
      <c r="N102" s="4152"/>
      <c r="O102" s="4152"/>
      <c r="P102" s="37"/>
      <c r="Q102" s="4151"/>
      <c r="R102" s="37"/>
      <c r="S102" s="4152"/>
      <c r="T102" s="4153"/>
      <c r="U102" s="4153"/>
      <c r="V102" s="4153"/>
      <c r="W102" s="4153"/>
      <c r="X102" s="4153"/>
    </row>
    <row r="103" spans="1:24" s="3178" customFormat="1">
      <c r="A103" s="4149"/>
      <c r="B103" s="4152"/>
      <c r="C103" s="4152"/>
      <c r="D103" s="4152"/>
      <c r="E103" s="4152"/>
      <c r="F103" s="4152"/>
      <c r="G103" s="4152"/>
      <c r="H103" s="4152"/>
      <c r="I103" s="4152"/>
      <c r="J103" s="4152"/>
      <c r="K103" s="4152"/>
      <c r="L103" s="4152"/>
      <c r="M103" s="4152"/>
      <c r="N103" s="4199" t="s">
        <v>782</v>
      </c>
      <c r="O103" s="4199"/>
      <c r="P103" s="4200" t="s">
        <v>783</v>
      </c>
      <c r="Q103" s="4201"/>
      <c r="R103" s="4200" t="s">
        <v>784</v>
      </c>
      <c r="S103" s="4152"/>
      <c r="T103" s="4153"/>
      <c r="U103" s="4153"/>
      <c r="V103" s="4153"/>
      <c r="W103" s="4153"/>
      <c r="X103" s="4153"/>
    </row>
    <row r="104" spans="1:24" s="3178" customFormat="1">
      <c r="A104" s="4149" t="s">
        <v>841</v>
      </c>
      <c r="B104" s="4202">
        <f>B101*$X$19</f>
        <v>3588491</v>
      </c>
      <c r="C104" s="4202"/>
      <c r="D104" s="4202">
        <f>D101*$X$19</f>
        <v>4341150.25</v>
      </c>
      <c r="E104" s="4202"/>
      <c r="F104" s="4202">
        <f>F101*$X$19</f>
        <v>4928327.5</v>
      </c>
      <c r="G104" s="4202"/>
      <c r="H104" s="4202">
        <f>H101*$X$19</f>
        <v>4893737.5</v>
      </c>
      <c r="I104" s="4202"/>
      <c r="J104" s="4202">
        <f>J101*$X$19</f>
        <v>4643221.25</v>
      </c>
      <c r="K104" s="4202"/>
      <c r="L104" s="4202">
        <f>L101*$X$19</f>
        <v>4146836</v>
      </c>
      <c r="M104" s="4202"/>
      <c r="N104" s="4202">
        <f>N101*$X$19</f>
        <v>4000000</v>
      </c>
      <c r="O104" s="4202"/>
      <c r="P104" s="4203">
        <f>P101*$X$19</f>
        <v>3725000</v>
      </c>
      <c r="Q104" s="38"/>
      <c r="R104" s="4203">
        <f>P104-N104</f>
        <v>-275000</v>
      </c>
      <c r="S104" s="4152"/>
      <c r="T104" s="4153"/>
      <c r="U104" s="4153"/>
      <c r="V104" s="4153"/>
      <c r="W104" s="4153"/>
      <c r="X104" s="4153"/>
    </row>
    <row r="105" spans="1:24" s="3178" customFormat="1">
      <c r="A105" s="4149" t="s">
        <v>785</v>
      </c>
      <c r="B105" s="4152"/>
      <c r="C105" s="4152"/>
      <c r="D105" s="4152"/>
      <c r="E105" s="4152"/>
      <c r="F105" s="4152"/>
      <c r="G105" s="4152"/>
      <c r="H105" s="4152"/>
      <c r="I105" s="4152"/>
      <c r="J105" s="4152"/>
      <c r="K105" s="4152"/>
      <c r="L105" s="4152"/>
      <c r="M105" s="4152"/>
      <c r="N105" s="4152"/>
      <c r="O105" s="4152"/>
      <c r="P105" s="37"/>
      <c r="Q105" s="4151"/>
      <c r="R105" s="4205">
        <f>R104*0.5</f>
        <v>-137500</v>
      </c>
      <c r="S105" s="4152"/>
      <c r="T105" s="4153"/>
      <c r="U105" s="4153"/>
      <c r="V105" s="4153"/>
      <c r="W105" s="4153"/>
      <c r="X105" s="4153"/>
    </row>
    <row r="106" spans="1:24">
      <c r="A106" s="4149" t="s">
        <v>786</v>
      </c>
      <c r="B106" s="4152"/>
      <c r="C106" s="4152"/>
      <c r="D106" s="4152"/>
      <c r="E106" s="4152"/>
      <c r="F106" s="4152"/>
      <c r="G106" s="4152"/>
      <c r="H106" s="4152"/>
      <c r="I106" s="4152"/>
      <c r="J106" s="4152"/>
      <c r="K106" s="4152"/>
      <c r="L106" s="4204">
        <f>L104*$X$20</f>
        <v>0</v>
      </c>
      <c r="M106" s="4152"/>
      <c r="N106" s="4152"/>
      <c r="O106" s="4152"/>
      <c r="P106" s="37"/>
      <c r="Q106" s="4151"/>
      <c r="R106" s="37"/>
      <c r="S106" s="4152"/>
      <c r="T106" s="4153"/>
      <c r="U106" s="4153"/>
      <c r="V106" s="4153"/>
      <c r="W106" s="4153"/>
      <c r="X106" s="4153"/>
    </row>
    <row r="107" spans="1:24">
      <c r="A107" s="4149"/>
      <c r="B107" s="4151"/>
      <c r="C107" s="4151"/>
      <c r="D107" s="4151"/>
      <c r="E107" s="4151"/>
      <c r="F107" s="4151"/>
      <c r="G107" s="4151"/>
      <c r="H107" s="4151"/>
      <c r="I107" s="4151"/>
      <c r="J107" s="4151"/>
      <c r="K107" s="4151"/>
      <c r="L107" s="4151"/>
      <c r="M107" s="4151"/>
      <c r="N107" s="4151"/>
      <c r="O107" s="4151"/>
      <c r="P107" s="37"/>
      <c r="Q107" s="4151"/>
      <c r="R107" s="37"/>
      <c r="S107" s="4152"/>
      <c r="T107" s="4153"/>
      <c r="U107" s="4153"/>
      <c r="V107" s="4153"/>
      <c r="W107" s="4153"/>
      <c r="X107" s="4153"/>
    </row>
    <row r="108" spans="1:24">
      <c r="A108" s="865" t="s">
        <v>12</v>
      </c>
      <c r="B108" s="5"/>
      <c r="C108" s="2779"/>
      <c r="D108" s="2779"/>
      <c r="E108" s="2779"/>
      <c r="F108" s="1845"/>
      <c r="G108" s="2779"/>
      <c r="H108" s="2779"/>
      <c r="I108" s="2779"/>
      <c r="J108" s="2779"/>
      <c r="L108" s="2779"/>
      <c r="N108" s="2779"/>
      <c r="T108" s="2779"/>
      <c r="V108" s="2779"/>
      <c r="X108" s="2779"/>
    </row>
    <row r="109" spans="1:24">
      <c r="A109" s="865" t="s">
        <v>523</v>
      </c>
      <c r="B109" s="2779"/>
      <c r="C109" s="2779"/>
      <c r="D109" s="2779"/>
      <c r="E109" s="2779"/>
      <c r="F109" s="1845"/>
      <c r="G109" s="2779"/>
      <c r="H109" s="2779"/>
      <c r="I109" s="2779"/>
      <c r="J109" s="2779"/>
      <c r="L109" s="2779"/>
      <c r="N109" s="2779"/>
      <c r="T109" s="2779"/>
      <c r="V109" s="2779"/>
      <c r="X109" s="2779"/>
    </row>
    <row r="110" spans="1:24">
      <c r="A110" s="866" t="s">
        <v>524</v>
      </c>
      <c r="B110" s="2779"/>
      <c r="C110" s="2779"/>
      <c r="D110" s="2779"/>
      <c r="E110" s="2779"/>
      <c r="F110" s="1845"/>
      <c r="G110" s="2779"/>
      <c r="H110" s="2779"/>
      <c r="I110" s="2779"/>
      <c r="J110" s="2779"/>
      <c r="L110" s="2779"/>
      <c r="N110" s="2779"/>
      <c r="T110" s="2779"/>
      <c r="V110" s="2779"/>
      <c r="X110" s="2779"/>
    </row>
    <row r="111" spans="1:24">
      <c r="A111" s="865" t="s">
        <v>525</v>
      </c>
      <c r="B111" s="2779"/>
      <c r="C111" s="2779"/>
      <c r="D111" s="2779"/>
      <c r="E111" s="2779"/>
      <c r="F111" s="1845"/>
      <c r="G111" s="2779"/>
      <c r="H111" s="2779"/>
      <c r="I111" s="2779"/>
      <c r="J111" s="2779"/>
      <c r="L111" s="2779"/>
      <c r="N111" s="2779"/>
      <c r="T111" s="2779"/>
      <c r="V111" s="2779"/>
      <c r="X111" s="2779"/>
    </row>
    <row r="112" spans="1:24">
      <c r="A112" s="3170"/>
      <c r="B112" s="2779"/>
      <c r="C112" s="2779"/>
      <c r="D112" s="2779"/>
      <c r="E112" s="2779"/>
      <c r="F112" s="1845"/>
      <c r="G112" s="2779"/>
      <c r="H112" s="2779"/>
      <c r="I112" s="2779"/>
      <c r="J112" s="2779"/>
      <c r="L112" s="2779"/>
      <c r="N112" s="2779"/>
      <c r="T112" s="2779"/>
      <c r="V112" s="2779"/>
      <c r="X112" s="2779"/>
    </row>
    <row r="113" spans="1:24">
      <c r="A113" s="1400" t="s">
        <v>526</v>
      </c>
      <c r="B113" s="2779"/>
      <c r="C113" s="2779"/>
      <c r="D113" s="2779"/>
      <c r="E113" s="2779"/>
      <c r="F113" s="1845"/>
      <c r="G113" s="2779"/>
      <c r="H113" s="2779"/>
      <c r="I113" s="2779"/>
      <c r="J113" s="2779"/>
      <c r="L113" s="2779"/>
      <c r="N113" s="2779"/>
      <c r="T113" s="2779"/>
      <c r="V113" s="2779"/>
      <c r="X113" s="2779"/>
    </row>
    <row r="114" spans="1:24">
      <c r="A114" s="1400" t="s">
        <v>527</v>
      </c>
      <c r="B114" s="2779"/>
      <c r="C114" s="2779"/>
      <c r="D114" s="2779"/>
      <c r="E114" s="2779"/>
      <c r="F114" s="1845"/>
      <c r="G114" s="2779"/>
      <c r="H114" s="2779"/>
      <c r="I114" s="2779"/>
      <c r="J114" s="2779"/>
      <c r="L114" s="2779"/>
      <c r="N114" s="2779"/>
      <c r="T114" s="2779"/>
      <c r="V114" s="2779"/>
      <c r="X114" s="2779"/>
    </row>
    <row r="115" spans="1:24">
      <c r="B115" s="2779"/>
      <c r="C115" s="2779"/>
      <c r="D115" s="2779"/>
      <c r="E115" s="2779"/>
      <c r="F115" s="1845"/>
      <c r="G115" s="2779"/>
      <c r="H115" s="2779"/>
      <c r="I115" s="2779"/>
      <c r="J115" s="2779"/>
      <c r="L115" s="2779"/>
      <c r="N115" s="2779"/>
      <c r="T115" s="2779"/>
      <c r="V115" s="2779"/>
      <c r="X115" s="2779"/>
    </row>
    <row r="116" spans="1:24">
      <c r="B116" s="2779"/>
      <c r="C116" s="2779"/>
      <c r="D116" s="2779"/>
      <c r="E116" s="2779"/>
      <c r="F116" s="1845"/>
      <c r="G116" s="2779"/>
      <c r="H116" s="2779"/>
      <c r="I116" s="2779"/>
      <c r="J116" s="2779"/>
      <c r="L116" s="2779"/>
      <c r="N116" s="2779"/>
      <c r="T116" s="2779"/>
      <c r="V116" s="2779"/>
      <c r="X116" s="2779"/>
    </row>
    <row r="117" spans="1:24">
      <c r="B117" s="2779"/>
      <c r="C117" s="2779"/>
      <c r="D117" s="2779"/>
      <c r="E117" s="2779"/>
      <c r="F117" s="1845"/>
      <c r="G117" s="2779"/>
      <c r="H117" s="2779"/>
      <c r="I117" s="2779"/>
      <c r="J117" s="2779"/>
      <c r="L117" s="2779"/>
      <c r="N117" s="2779"/>
      <c r="T117" s="2779"/>
      <c r="V117" s="2779"/>
      <c r="X117" s="2779"/>
    </row>
    <row r="118" spans="1:24">
      <c r="B118" s="2779"/>
      <c r="C118" s="2779"/>
      <c r="D118" s="2779"/>
      <c r="E118" s="2779"/>
      <c r="F118" s="1845"/>
      <c r="G118" s="2779"/>
      <c r="H118" s="2779"/>
      <c r="I118" s="2779"/>
      <c r="J118" s="2779"/>
      <c r="L118" s="2779"/>
      <c r="N118" s="2779"/>
      <c r="T118" s="2779"/>
      <c r="V118" s="2779"/>
      <c r="X118" s="2779"/>
    </row>
    <row r="119" spans="1:24">
      <c r="B119" s="2779"/>
      <c r="C119" s="2779"/>
      <c r="D119" s="2779"/>
      <c r="E119" s="2779"/>
      <c r="F119" s="1845"/>
      <c r="G119" s="2779"/>
      <c r="H119" s="2779"/>
      <c r="I119" s="2779"/>
      <c r="J119" s="2779"/>
      <c r="L119" s="2779"/>
      <c r="N119" s="2779"/>
      <c r="T119" s="2779"/>
      <c r="V119" s="2779"/>
      <c r="X119" s="2779"/>
    </row>
    <row r="120" spans="1:24">
      <c r="B120" s="2779"/>
      <c r="C120" s="2779"/>
      <c r="D120" s="2779"/>
      <c r="E120" s="2779"/>
      <c r="F120" s="1845"/>
      <c r="G120" s="2779"/>
      <c r="H120" s="2779"/>
      <c r="I120" s="2779"/>
      <c r="J120" s="2779"/>
      <c r="L120" s="2779"/>
      <c r="N120" s="2779"/>
      <c r="T120" s="2779"/>
      <c r="V120" s="2779"/>
      <c r="X120" s="2779"/>
    </row>
    <row r="121" spans="1:24">
      <c r="B121" s="2779"/>
      <c r="C121" s="2779"/>
      <c r="D121" s="2779"/>
      <c r="E121" s="2779"/>
      <c r="F121" s="1845"/>
      <c r="G121" s="2779"/>
      <c r="H121" s="2779"/>
      <c r="I121" s="2779"/>
      <c r="J121" s="2779"/>
      <c r="L121" s="2779"/>
      <c r="N121" s="2779"/>
      <c r="T121" s="2779"/>
      <c r="V121" s="2779"/>
      <c r="X121" s="2779"/>
    </row>
    <row r="122" spans="1:24">
      <c r="B122" s="2779"/>
      <c r="C122" s="2779"/>
      <c r="D122" s="2779"/>
      <c r="E122" s="2779"/>
      <c r="F122" s="1845"/>
      <c r="G122" s="2779"/>
      <c r="H122" s="2779"/>
      <c r="I122" s="2779"/>
      <c r="J122" s="2779"/>
      <c r="L122" s="2779"/>
      <c r="N122" s="2779"/>
      <c r="T122" s="2779"/>
      <c r="V122" s="2779"/>
      <c r="X122" s="2779"/>
    </row>
    <row r="123" spans="1:24">
      <c r="B123" s="2779"/>
      <c r="C123" s="2779"/>
      <c r="D123" s="2779"/>
      <c r="E123" s="2779"/>
      <c r="F123" s="1845"/>
      <c r="G123" s="2779"/>
      <c r="H123" s="2779"/>
      <c r="I123" s="2779"/>
      <c r="J123" s="2779"/>
      <c r="L123" s="2779"/>
      <c r="N123" s="2779"/>
      <c r="T123" s="2779"/>
      <c r="V123" s="2779"/>
      <c r="X123" s="2779"/>
    </row>
    <row r="124" spans="1:24">
      <c r="B124" s="2779"/>
      <c r="C124" s="2779"/>
      <c r="D124" s="2779"/>
      <c r="E124" s="2779"/>
      <c r="F124" s="1845"/>
      <c r="G124" s="2779"/>
      <c r="H124" s="2779"/>
      <c r="I124" s="2779"/>
      <c r="J124" s="2779"/>
      <c r="L124" s="2779"/>
      <c r="N124" s="2779"/>
      <c r="T124" s="2779"/>
      <c r="V124" s="2779"/>
      <c r="X124" s="2779"/>
    </row>
    <row r="125" spans="1:24">
      <c r="B125" s="2779"/>
      <c r="C125" s="2779"/>
      <c r="D125" s="2779"/>
      <c r="E125" s="2779"/>
      <c r="F125" s="1845"/>
      <c r="G125" s="2779"/>
      <c r="H125" s="2779"/>
      <c r="I125" s="2779"/>
      <c r="J125" s="2779"/>
      <c r="L125" s="2779"/>
      <c r="N125" s="2779"/>
      <c r="T125" s="2779"/>
      <c r="V125" s="2779"/>
      <c r="X125" s="2779"/>
    </row>
    <row r="126" spans="1:24">
      <c r="B126" s="2779"/>
      <c r="C126" s="2779"/>
      <c r="D126" s="2779"/>
      <c r="E126" s="2779"/>
      <c r="F126" s="1845"/>
      <c r="G126" s="2779"/>
      <c r="H126" s="2779"/>
      <c r="I126" s="2779"/>
      <c r="J126" s="2779"/>
      <c r="L126" s="2779"/>
      <c r="N126" s="2779"/>
      <c r="T126" s="2779"/>
      <c r="V126" s="2779"/>
      <c r="X126" s="2779"/>
    </row>
    <row r="127" spans="1:24">
      <c r="B127" s="2779"/>
      <c r="C127" s="2779"/>
      <c r="D127" s="2779"/>
      <c r="E127" s="2779"/>
      <c r="F127" s="1845"/>
      <c r="G127" s="2779"/>
      <c r="H127" s="2779"/>
      <c r="I127" s="2779"/>
      <c r="J127" s="2779"/>
      <c r="L127" s="2779"/>
      <c r="N127" s="2779"/>
      <c r="T127" s="2779"/>
      <c r="V127" s="2779"/>
      <c r="X127" s="2779"/>
    </row>
    <row r="128" spans="1:24">
      <c r="B128" s="2779"/>
      <c r="C128" s="2779"/>
      <c r="D128" s="2779"/>
      <c r="E128" s="2779"/>
      <c r="F128" s="1845"/>
      <c r="G128" s="2779"/>
      <c r="H128" s="2779"/>
      <c r="I128" s="2779"/>
      <c r="J128" s="2779"/>
      <c r="L128" s="2779"/>
      <c r="N128" s="2779"/>
      <c r="T128" s="2779"/>
      <c r="V128" s="2779"/>
      <c r="X128" s="2779"/>
    </row>
    <row r="129" spans="2:24">
      <c r="B129" s="2779"/>
      <c r="C129" s="2779"/>
      <c r="D129" s="2779"/>
      <c r="E129" s="2779"/>
      <c r="F129" s="1845"/>
      <c r="G129" s="2779"/>
      <c r="H129" s="2779"/>
      <c r="I129" s="2779"/>
      <c r="J129" s="2779"/>
      <c r="L129" s="2779"/>
      <c r="N129" s="2779"/>
      <c r="T129" s="2779"/>
      <c r="V129" s="2779"/>
      <c r="X129" s="2779"/>
    </row>
    <row r="130" spans="2:24">
      <c r="B130" s="2779"/>
      <c r="C130" s="2779"/>
      <c r="D130" s="2779"/>
      <c r="E130" s="2779"/>
      <c r="F130" s="1845"/>
      <c r="G130" s="2779"/>
      <c r="H130" s="2779"/>
      <c r="I130" s="2779"/>
      <c r="J130" s="2779"/>
      <c r="L130" s="2779"/>
      <c r="N130" s="2779"/>
      <c r="T130" s="2779"/>
      <c r="V130" s="2779"/>
      <c r="X130" s="2779"/>
    </row>
    <row r="131" spans="2:24">
      <c r="B131" s="2779"/>
      <c r="C131" s="2779"/>
      <c r="D131" s="2779"/>
      <c r="E131" s="2779"/>
      <c r="F131" s="1845"/>
      <c r="G131" s="2779"/>
      <c r="H131" s="2779"/>
      <c r="I131" s="2779"/>
      <c r="J131" s="2779"/>
      <c r="L131" s="2779"/>
      <c r="N131" s="2779"/>
      <c r="T131" s="2779"/>
      <c r="V131" s="2779"/>
      <c r="X131" s="2779"/>
    </row>
    <row r="132" spans="2:24">
      <c r="B132" s="2779"/>
      <c r="C132" s="2779"/>
      <c r="D132" s="2779"/>
      <c r="E132" s="2779"/>
      <c r="F132" s="1845"/>
      <c r="G132" s="2779"/>
      <c r="H132" s="2779"/>
      <c r="I132" s="2779"/>
      <c r="J132" s="2779"/>
      <c r="L132" s="2779"/>
      <c r="N132" s="2779"/>
      <c r="T132" s="2779"/>
      <c r="V132" s="2779"/>
      <c r="X132" s="2779"/>
    </row>
    <row r="133" spans="2:24">
      <c r="B133" s="2779"/>
      <c r="C133" s="2779"/>
      <c r="D133" s="2779"/>
      <c r="E133" s="2779"/>
      <c r="F133" s="1845"/>
      <c r="G133" s="2779"/>
      <c r="H133" s="2779"/>
      <c r="I133" s="2779"/>
      <c r="J133" s="2779"/>
      <c r="L133" s="2779"/>
      <c r="N133" s="2779"/>
      <c r="T133" s="2779"/>
      <c r="V133" s="2779"/>
      <c r="X133" s="2779"/>
    </row>
    <row r="134" spans="2:24">
      <c r="B134" s="2779"/>
      <c r="C134" s="2779"/>
      <c r="D134" s="2779"/>
      <c r="E134" s="2779"/>
      <c r="F134" s="1845"/>
      <c r="G134" s="2779"/>
      <c r="H134" s="2779"/>
      <c r="I134" s="2779"/>
      <c r="J134" s="2779"/>
      <c r="L134" s="2779"/>
      <c r="N134" s="2779"/>
      <c r="T134" s="2779"/>
      <c r="V134" s="2779"/>
      <c r="X134" s="2779"/>
    </row>
  </sheetData>
  <mergeCells count="4">
    <mergeCell ref="A1:X1"/>
    <mergeCell ref="A2:X2"/>
    <mergeCell ref="A3:X3"/>
    <mergeCell ref="A4:X4"/>
  </mergeCells>
  <printOptions horizontalCentered="1"/>
  <pageMargins left="0.7" right="0.7" top="0.75" bottom="0.75" header="0.3" footer="0.3"/>
  <pageSetup scale="68" orientation="landscape" r:id="rId1"/>
  <headerFooter alignWithMargins="0">
    <oddFooter>&amp;LHouse Ways and Means Cmte Amendment 1001 2-14-13&amp;R&amp;D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27</vt:i4>
      </vt:variant>
      <vt:variant>
        <vt:lpstr>Charts</vt:lpstr>
      </vt:variant>
      <vt:variant>
        <vt:i4>6</vt:i4>
      </vt:variant>
      <vt:variant>
        <vt:lpstr>Named Ranges</vt:lpstr>
      </vt:variant>
      <vt:variant>
        <vt:i4>11</vt:i4>
      </vt:variant>
    </vt:vector>
  </HeadingPairs>
  <TitlesOfParts>
    <vt:vector size="44" baseType="lpstr">
      <vt:lpstr>High Level HE Budget Major Exp</vt:lpstr>
      <vt:lpstr>OVERALL HE BUDGET SUMMARY</vt:lpstr>
      <vt:lpstr>2013-15 PFF Budget Ops Impact</vt:lpstr>
      <vt:lpstr>2011-13 PFF Allocation</vt:lpstr>
      <vt:lpstr>2013-15 PFF Allocation Recommd</vt:lpstr>
      <vt:lpstr>Summary of PFF Metrics 2014</vt:lpstr>
      <vt:lpstr>Summary of PFF Metrics 2015</vt:lpstr>
      <vt:lpstr>Weighting and Rates PFF</vt:lpstr>
      <vt:lpstr>Research Expense Data BRS IX</vt:lpstr>
      <vt:lpstr>Dual Credit Data</vt:lpstr>
      <vt:lpstr>Overall Degree Completion PMS I</vt:lpstr>
      <vt:lpstr>At-Risk Student Degree PMS II</vt:lpstr>
      <vt:lpstr>High Impact Degree PMS III</vt:lpstr>
      <vt:lpstr>Student Persistence PMS IV</vt:lpstr>
      <vt:lpstr>Remediation Success PMS V</vt:lpstr>
      <vt:lpstr>On-time Graduation Rate PMS VI</vt:lpstr>
      <vt:lpstr>Institutional Eff PMS VII</vt:lpstr>
      <vt:lpstr>Line Item Funding</vt:lpstr>
      <vt:lpstr>Medical Education Funding</vt:lpstr>
      <vt:lpstr>Capital Projects and FR</vt:lpstr>
      <vt:lpstr>Debt Service 2000-2032</vt:lpstr>
      <vt:lpstr>Total Outstanding Debt</vt:lpstr>
      <vt:lpstr>R&amp;R Funding</vt:lpstr>
      <vt:lpstr>Student Enrollment BRS VIII </vt:lpstr>
      <vt:lpstr>Ops Funding per FTE Impact</vt:lpstr>
      <vt:lpstr>Debt Funding per FTE Impact</vt:lpstr>
      <vt:lpstr>Debt Ratio</vt:lpstr>
      <vt:lpstr>Total Ammort Chart</vt:lpstr>
      <vt:lpstr>Total Outstanding Debt Chrt</vt:lpstr>
      <vt:lpstr>Funding per FTE Ops Approp</vt:lpstr>
      <vt:lpstr>Funding Per FTE Overall</vt:lpstr>
      <vt:lpstr>Funding per FTE Debt Approp</vt:lpstr>
      <vt:lpstr>Debt Ratio Chart</vt:lpstr>
      <vt:lpstr>'Capital Projects and FR'!Print_Area</vt:lpstr>
      <vt:lpstr>'Institutional Eff PMS VII'!Print_Area</vt:lpstr>
      <vt:lpstr>'On-time Graduation Rate PMS VI'!Print_Area</vt:lpstr>
      <vt:lpstr>'Ops Funding per FTE Impact'!Print_Area</vt:lpstr>
      <vt:lpstr>'Summary of PFF Metrics 2014'!Print_Area</vt:lpstr>
      <vt:lpstr>'Summary of PFF Metrics 2015'!Print_Area</vt:lpstr>
      <vt:lpstr>'2013-15 PFF Allocation Recommd'!Print_Titles</vt:lpstr>
      <vt:lpstr>'Capital Projects and FR'!Print_Titles</vt:lpstr>
      <vt:lpstr>'Debt Ratio'!Print_Titles</vt:lpstr>
      <vt:lpstr>'Line Item Funding'!Print_Titles</vt:lpstr>
      <vt:lpstr>'OVERALL HE BUDGET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bernieh</dc:creator>
  <cp:lastModifiedBy>Hawkins, Matt (CHE)</cp:lastModifiedBy>
  <cp:lastPrinted>2013-04-04T14:54:35Z</cp:lastPrinted>
  <dcterms:created xsi:type="dcterms:W3CDTF">2010-06-28T23:29:25Z</dcterms:created>
  <dcterms:modified xsi:type="dcterms:W3CDTF">2013-07-17T15:09:25Z</dcterms:modified>
</cp:coreProperties>
</file>